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C:\Users\younkins\Downloads\"/>
    </mc:Choice>
  </mc:AlternateContent>
  <xr:revisionPtr revIDLastSave="0" documentId="8_{2D4FE9D9-7991-4069-9CAD-9D3E4D65E42C}" xr6:coauthVersionLast="47" xr6:coauthVersionMax="47" xr10:uidLastSave="{00000000-0000-0000-0000-000000000000}"/>
  <bookViews>
    <workbookView xWindow="28680" yWindow="-10710" windowWidth="29040" windowHeight="16440" xr2:uid="{98DF6D7E-A2B9-4177-B1ED-B0E6E472B7DC}"/>
  </bookViews>
  <sheets>
    <sheet name="Traffic Calming Assement" sheetId="6" r:id="rId1"/>
    <sheet name="Speed Increasers" sheetId="3" r:id="rId2"/>
    <sheet name="Traffic Calming" sheetId="5" r:id="rId3"/>
    <sheet name="Traffic Calming Not In Use" sheetId="7" r:id="rId4"/>
  </sheets>
  <definedNames>
    <definedName name="_xlnm.Print_Area" localSheetId="2">'Traffic Calming'!$A$1:$D$71</definedName>
    <definedName name="_xlnm.Print_Area" localSheetId="0">'Traffic Calming Assement'!$A$1:$O$24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2" i="5" l="1" a="1"/>
  <c r="D62" i="5" s="1"/>
  <c r="D21" i="3" a="1"/>
  <c r="D21" i="3" s="1"/>
  <c r="D24" i="3" a="1"/>
  <c r="D24" i="3" s="1"/>
  <c r="D15" i="3" a="1"/>
  <c r="D15" i="3" s="1"/>
  <c r="D12" i="3" a="1"/>
  <c r="D12" i="3" s="1"/>
  <c r="D9" i="3" a="1"/>
  <c r="D9" i="3" s="1"/>
  <c r="D14" i="5" a="1"/>
  <c r="D14" i="5" s="1"/>
  <c r="D65" i="5" a="1"/>
  <c r="D65" i="5" s="1"/>
  <c r="D32" i="5" a="1"/>
  <c r="D32" i="5" s="1"/>
  <c r="D29" i="5" a="1"/>
  <c r="D29" i="5" s="1"/>
  <c r="D20" i="5" a="1"/>
  <c r="D20" i="5" s="1"/>
  <c r="E73" i="7"/>
  <c r="D73" i="7" a="1"/>
  <c r="D73" i="7" s="1"/>
  <c r="E70" i="7"/>
  <c r="D70" i="7" a="1"/>
  <c r="D70" i="7" s="1"/>
  <c r="D67" i="7" a="1"/>
  <c r="D67" i="7" s="1"/>
  <c r="D64" i="7" a="1"/>
  <c r="D64" i="7" s="1"/>
  <c r="D61" i="7"/>
  <c r="D61" i="7" a="1"/>
  <c r="E58" i="7"/>
  <c r="D58" i="7"/>
  <c r="D58" i="7" a="1"/>
  <c r="E55" i="7"/>
  <c r="D55" i="7" a="1"/>
  <c r="D55" i="7" s="1"/>
  <c r="D52" i="7" a="1"/>
  <c r="D52" i="7" s="1"/>
  <c r="E49" i="7"/>
  <c r="D49" i="7"/>
  <c r="D49" i="7" a="1"/>
  <c r="E46" i="7"/>
  <c r="D46" i="7" a="1"/>
  <c r="D46" i="7" s="1"/>
  <c r="E43" i="7"/>
  <c r="D43" i="7"/>
  <c r="D43" i="7" a="1"/>
  <c r="D40" i="7"/>
  <c r="D40" i="7" a="1"/>
  <c r="D37" i="7"/>
  <c r="D37" i="7" a="1"/>
  <c r="D34" i="7" a="1"/>
  <c r="D34" i="7" s="1"/>
  <c r="D31" i="7"/>
  <c r="D31" i="7" a="1"/>
  <c r="D28" i="7"/>
  <c r="D28" i="7" a="1"/>
  <c r="E25" i="7"/>
  <c r="D25" i="7" a="1"/>
  <c r="D25" i="7" s="1"/>
  <c r="D22" i="7"/>
  <c r="D22" i="7" a="1"/>
  <c r="D19" i="7" a="1"/>
  <c r="D19" i="7" s="1"/>
  <c r="E16" i="7"/>
  <c r="D16" i="7" a="1"/>
  <c r="D16" i="7" s="1"/>
  <c r="D13" i="7" a="1"/>
  <c r="D13" i="7" s="1"/>
  <c r="E10" i="7"/>
  <c r="D10" i="7"/>
  <c r="D10" i="7" a="1"/>
  <c r="D7" i="7" a="1"/>
  <c r="D7" i="7" s="1"/>
  <c r="D17" i="5" a="1"/>
  <c r="D17" i="5" s="1"/>
  <c r="D8" i="5" a="1"/>
  <c r="D8" i="5" s="1"/>
  <c r="D6" i="3" a="1"/>
  <c r="D6" i="3" s="1"/>
  <c r="D68" i="5" a="1"/>
  <c r="D68" i="5" s="1"/>
  <c r="D38" i="5" a="1"/>
  <c r="D38" i="5" s="1"/>
  <c r="D41" i="5" a="1"/>
  <c r="D41" i="5" s="1"/>
  <c r="D26" i="5" a="1"/>
  <c r="D26" i="5" s="1"/>
  <c r="D59" i="5" a="1"/>
  <c r="D59" i="5" s="1"/>
  <c r="D56" i="5" a="1"/>
  <c r="D56" i="5" s="1"/>
  <c r="D53" i="5" a="1"/>
  <c r="D53" i="5" s="1"/>
  <c r="D50" i="5" a="1"/>
  <c r="D50" i="5" s="1"/>
  <c r="D47" i="5" a="1"/>
  <c r="D47" i="5" s="1"/>
  <c r="D44" i="5" a="1"/>
  <c r="D44" i="5" s="1"/>
  <c r="D35" i="5" a="1"/>
  <c r="D35" i="5" s="1"/>
  <c r="D23" i="5" a="1"/>
  <c r="D23" i="5" s="1"/>
  <c r="D11" i="5" a="1"/>
  <c r="D11" i="5" s="1"/>
  <c r="D18" i="3" a="1"/>
  <c r="D18" i="3" s="1"/>
  <c r="D76" i="7" l="1"/>
  <c r="D71" i="5"/>
  <c r="D27" i="3"/>
  <c r="H14" i="6" s="1"/>
  <c r="K14" i="6" l="1"/>
  <c r="B14" i="6" s="1"/>
  <c r="B12" i="7"/>
  <c r="B16" i="6" l="1"/>
  <c r="B18"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<sst xmlns="http://schemas.openxmlformats.org/spreadsheetml/2006/main" count="224" uniqueCount="130">
  <si>
    <t>Greeley Traffic Calming Standards Worksheet</t>
  </si>
  <si>
    <t>How to Use This Document</t>
  </si>
  <si>
    <t xml:space="preserve">This is a worksheet to determine the level of traffic calming measures needed to meet the City of Greeley's standards for reducing vehicle speeds and improving the overall safety of the transportation network. The goal of this worksheet is to make sure there are sufficient devices on the corridor to enforce the corridor posted speed. This is demonstrated by keeping the corridor operating speed lower than the posted speed. </t>
  </si>
  <si>
    <r>
      <t>Enter the existing or approved corridor posted speed below for the roadway corridor being designed. Fill out the drop-down menus in</t>
    </r>
    <r>
      <rPr>
        <sz val="11"/>
        <rFont val="Calibri"/>
        <family val="2"/>
        <scheme val="minor"/>
      </rPr>
      <t xml:space="preserve"> blue</t>
    </r>
    <r>
      <rPr>
        <sz val="11"/>
        <color theme="1"/>
        <rFont val="Calibri"/>
        <family val="2"/>
        <scheme val="minor"/>
      </rPr>
      <t xml:space="preserve"> over the next two pages as appropriate to the project or street section in question. Scores on this page will update automatically to determine if the project meets the City of Greeley's speed standards. </t>
    </r>
  </si>
  <si>
    <t>Total Speed Score</t>
  </si>
  <si>
    <r>
      <t>Corridor Posted Speed</t>
    </r>
    <r>
      <rPr>
        <b/>
        <vertAlign val="superscript"/>
        <sz val="12"/>
        <color theme="1"/>
        <rFont val="Calibri"/>
        <family val="2"/>
        <scheme val="minor"/>
      </rPr>
      <t>1</t>
    </r>
  </si>
  <si>
    <t>Speed Increasers</t>
  </si>
  <si>
    <t>Traffic Calming</t>
  </si>
  <si>
    <t>Speed Adjustment Factor</t>
  </si>
  <si>
    <t>Factored Speed</t>
  </si>
  <si>
    <t>1. See Section 200 of the City of Greeley Design Criteria, Construction Specifications, and Details for corridor design speed</t>
  </si>
  <si>
    <t>Item Descriptions</t>
  </si>
  <si>
    <t>Score Metric</t>
  </si>
  <si>
    <t>Score</t>
  </si>
  <si>
    <t>Number of Lanes</t>
  </si>
  <si>
    <t>Number of travel lanes</t>
  </si>
  <si>
    <t>4 Travel Lanes</t>
  </si>
  <si>
    <t>Multiple adjacent travel lanes provide more space for vehicles to maneuver, and consequently can drastically increase speeds.</t>
  </si>
  <si>
    <t>Lane Width</t>
  </si>
  <si>
    <t>Wider travel lanes</t>
  </si>
  <si>
    <t>&lt;11 feet</t>
  </si>
  <si>
    <t>Providing wider travel lanes than required in the standards gives motorists more room to remover and increases motorist comfort, leading to higher speeds.</t>
  </si>
  <si>
    <t>Speed over design speed</t>
  </si>
  <si>
    <t>Horizontal Radii Too Large</t>
  </si>
  <si>
    <t>Road Design Speed</t>
  </si>
  <si>
    <t>Large horizontal radii allow passenger vehicles to navigate any turns at higher speeds than intended.</t>
  </si>
  <si>
    <t>Parking Utilization</t>
  </si>
  <si>
    <t>Unused adjacent parking lanes</t>
  </si>
  <si>
    <t>0-30% Utilization</t>
  </si>
  <si>
    <t>If adjacent parking lanes are provided, but are rarely used, they have the same effect as adding width to the travel lanes. Higher utilization of the parking lane reduces this effect. All new developments must assume 0-30%</t>
  </si>
  <si>
    <t>Length without Curve or Stop</t>
  </si>
  <si>
    <t>Excessive Straight Lengths</t>
  </si>
  <si>
    <t>&gt;1000 ft</t>
  </si>
  <si>
    <t>Excessive lengths without a horizontal curve or a stop controlled intersection can allow for long, uninterrupted acceleration times and lead to increased speeds.</t>
  </si>
  <si>
    <t>Average Building Setback</t>
  </si>
  <si>
    <t>Large Setbacks</t>
  </si>
  <si>
    <t>&lt; 25 ft</t>
  </si>
  <si>
    <t>Large building setbacks give the appearance of a wider travel path and reduce visual clutter, leading to increased speeds. This effect can be mitigated by adding street trees near the roadway.</t>
  </si>
  <si>
    <t>Average Curb Return Radius</t>
  </si>
  <si>
    <t>Large Curb Return Radii</t>
  </si>
  <si>
    <t>&lt;20 ft</t>
  </si>
  <si>
    <t>Large curb return radii may allow easier turns for trucks and large vehicles, but also allow passenger cars to navigate the intersection at high speeds. Given the relatively high rate of right turn pedestrian and bicycle crashes, large curb return radii have a direct negative impact on bicycle and pedestrian safety.</t>
  </si>
  <si>
    <t>Speed Increase Score</t>
  </si>
  <si>
    <r>
      <t>Note:</t>
    </r>
    <r>
      <rPr>
        <sz val="11"/>
        <color theme="1"/>
        <rFont val="Calibri"/>
        <family val="2"/>
        <scheme val="minor"/>
      </rPr>
      <t xml:space="preserve"> Not all traffic calming measures will be appropriate on all streets. Please see the City of Greeley Transportation Master Plan Chapter 15 for more information.</t>
    </r>
  </si>
  <si>
    <t>Score Totals</t>
  </si>
  <si>
    <t>Street Right Sizing</t>
  </si>
  <si>
    <t>Not Applicable</t>
  </si>
  <si>
    <t>Right sizing reconfigurations reduce vehicle travel lanes based on traffic volumes. Often with changes in demand converting overbuilt street segments improve safety. Some examples are 4-lane road into a three-lane segment consisting of two through lanes and a center, two-way left-turn lane and shoulders or bike facilities.</t>
  </si>
  <si>
    <t>Travel Lane Width</t>
  </si>
  <si>
    <t>Lane Width Reduction</t>
  </si>
  <si>
    <t>11'</t>
  </si>
  <si>
    <t>Narrow travel lanes reduce speeds and minimize crashes on city streets by reducing the right-of-way and making drivers wary of traffic and adjacent users. For example, edge line striping can narrow travel lanes, giving the impression of a narrow street.</t>
  </si>
  <si>
    <t>Shared Street (Applicable only on Local and Pedestrian Street Classifications)</t>
  </si>
  <si>
    <t>A shared street is a space that lacks the formal separation found in conventionally designed streets. By removing the physical distinctions between pedestrian, cycle, and vehicular spaces, shared street treatments force all users to share the street, increasing awareness and reducing motor vehicle speeds.</t>
  </si>
  <si>
    <t>Lane Type</t>
  </si>
  <si>
    <t>Dedicated Multimodal Lane (Retrofit Only)</t>
  </si>
  <si>
    <t>No Multimodal Lane</t>
  </si>
  <si>
    <t>A bike or transit lane is a portion of the road reserved for the exclusive or preferential use of cyclists and/or transit. Converting vehicle travel lanes into multimodal facilities reduces the vehicle right-of-way, making drivers wary of traffic and adjacent multimodal lanes. This is applicable for Retrofit situations only. New streets shall not include on-street bike lanes.</t>
  </si>
  <si>
    <t>Building Setbacks and Street Trees</t>
  </si>
  <si>
    <t>Street Trees</t>
  </si>
  <si>
    <t>A dense built environment with no significant setbacks and with street trees constrains sightlines, making drivers more alert and aware of their surroundings.</t>
  </si>
  <si>
    <t>Signal Progression (Applicable only on coordinated signal corridors)</t>
  </si>
  <si>
    <t>Signals timed to a street’s target speed can create lower speeds along a corridor. Coordinated signal timing can be optimized to create an uninterrupted flow for bicyclists, low vehicle progression speeds for a pedestrian-friendly downtown, or to coordinate transit headways.</t>
  </si>
  <si>
    <t>% Presence of Medians</t>
  </si>
  <si>
    <t>Median and Refuge Islands</t>
  </si>
  <si>
    <t>0-30%</t>
  </si>
  <si>
    <t>Medians are raised islands in the center of a roadway that can reduce pedestrian crossing and separate traffic directions. Medians are used on wide streets to narrow the travel lanes and ease pedestrian crossings.</t>
  </si>
  <si>
    <t>Frequency of H-V Crosswalks</t>
  </si>
  <si>
    <t>High-Visibility Crosswalks</t>
  </si>
  <si>
    <t>Every 2500' or less</t>
  </si>
  <si>
    <t>A high-visibility crosswalk incorporates striping patterns, flashing beacons, and highly visible signs to improve the visibility of the pedestrian. Different alternatives include the Pedestrian Hybrid Beacon (PHB) and the Rectangular Rapid Flashing Beacon (RRFB).</t>
  </si>
  <si>
    <t>Frequency of Chokers</t>
  </si>
  <si>
    <t>Pinchpoint/Chokers</t>
  </si>
  <si>
    <t>Mid-block chokers or pinchpoints are raised curbs or landscaped public space that narrows the roadway. Chokers or pinchpoints may be installed with either landscaping or hardscape treatment, usually allowing a shorter pedestrian or trail crossing.</t>
  </si>
  <si>
    <t>Frequency of Chicanes</t>
  </si>
  <si>
    <t>Lane Shift / Chicane</t>
  </si>
  <si>
    <t>Not Present</t>
  </si>
  <si>
    <t>A lane shift horizontally deflects a vehicle and may be designed with striping, curb extensions, or parking. Chicanes create a curved street alignment that can be retrofitted in existing rights-of-way. The curvilinear alignment requires additional maneuvering and shortens drivers’ sightlines, resulting in lower overall speeds.</t>
  </si>
  <si>
    <t>Frequency of Speed Humps</t>
  </si>
  <si>
    <t>Speed Hump</t>
  </si>
  <si>
    <t>Road humps are areas of raised pavement, making vehicles reduce their velocity. Road humps include pavement markings, advisory signs, and advanced warning signs.</t>
  </si>
  <si>
    <t>Frequency of Speed Cushions</t>
  </si>
  <si>
    <t>Speed Cushion</t>
  </si>
  <si>
    <t>Like speed humps, speed cushions are areas of raised pavement but with wheel cutouts to allow larger vehicles to pass unaffected.</t>
  </si>
  <si>
    <t>Frequency of Speed Tables</t>
  </si>
  <si>
    <t>Speed Table</t>
  </si>
  <si>
    <t>Speed tables create a safe and slow-speed crossing. Similar to speed humps and other vertical speed control elements, they reinforce slow speeds and encourage motorists to yield to pedestrians at a crosswalk.</t>
  </si>
  <si>
    <t>Curb Radii</t>
  </si>
  <si>
    <t>Narrowing Curb Radii</t>
  </si>
  <si>
    <t>16-20'</t>
  </si>
  <si>
    <t>Narrowing curb radii at street corners reduces vehicle turning speeds. Minimizing the size of a corner radius is critical to creating safe and compact intersections.</t>
  </si>
  <si>
    <t>Frequency of Raised Intersections</t>
  </si>
  <si>
    <t>Raised Intersections</t>
  </si>
  <si>
    <t>Raised intersections create a safe, slow-speed crossing and public space. An intersection redesign would reinforce slow speeds and encourage motorists to yield to pedestrians. Raised intersections provide an opportunity for urban design and placemaking, such as pavement treatments.</t>
  </si>
  <si>
    <t>Frequency of Diverters</t>
  </si>
  <si>
    <t>Diverter</t>
  </si>
  <si>
    <t>Diverters restrict vehicular through traffic at intersections and force turns for approaches.</t>
  </si>
  <si>
    <t>T Intersection Realigned</t>
  </si>
  <si>
    <t>Intersection Realignment</t>
  </si>
  <si>
    <t>Realigning "T" intersections forces previous straight-through movements to make slower turning movements by constructing a horizontal deflection at the intersection.</t>
  </si>
  <si>
    <t>Frequency of Gateways</t>
  </si>
  <si>
    <t>Gateway / Bulbout</t>
  </si>
  <si>
    <t>Bulbouts narrow the street width at intersections, creating a shorter and safer pedestrian crossing while encouraging drivers to slow down. Bulbouts may contain special paving, bollards, and/or landscaping and are generally used at intersections where parking is already restricted. Bulbouts can be striped or raised, attached or detached (maintaining drainage).</t>
  </si>
  <si>
    <t>Treatment Type</t>
  </si>
  <si>
    <t>Pavement Treatment</t>
  </si>
  <si>
    <t>Pavement treatments can make pavements more noticeable to drivers. Treatments can add visual interest, such as colored or patterned stamped asphalt, concrete, or even concrete pavers. Pedestrian crossings and intersections can be painted to highlight crossing areas. Rumble strips and different pavers can add sound and friction.</t>
  </si>
  <si>
    <t>Frequency of Traffic Circles</t>
  </si>
  <si>
    <t>Small Traffic Circle</t>
  </si>
  <si>
    <t>Traffic circles are raised circular medians at intersections that direct traffic counterclockwise within the intersection. Vehicles must change their direction of travel to maneuver around the circle. Traffic circles are controlled by traffic signs (yield, stop) on all approaches.</t>
  </si>
  <si>
    <t>Frequency of Roundabouts</t>
  </si>
  <si>
    <t>Mini Roundabout</t>
  </si>
  <si>
    <t>Mini roundabouts lower speeds at intersection crossings and are an ideal treatment for uncontrolled intersections. Mini roundabouts may be installed using simple markings or raised islands. Vehicles must change their direction of travel to maneuver around the inner circle. Lane width and turning radius should be carefully considered.</t>
  </si>
  <si>
    <t>Traffic Calming Score</t>
  </si>
  <si>
    <t>12'+</t>
  </si>
  <si>
    <t>2-Way Streets</t>
  </si>
  <si>
    <t>Converting 1-way streets to 2-way streets encourages motorists to be more cautious of surroundings and oncoming traffic, especially those with narrower profiles.</t>
  </si>
  <si>
    <t>Shared Street</t>
  </si>
  <si>
    <t>Converted to Shared Street</t>
  </si>
  <si>
    <t>Dedicated Multimodal Lane</t>
  </si>
  <si>
    <t>Protected Bike Lane</t>
  </si>
  <si>
    <t>A bike or transit lane is a portion of the road reserved for the exclusive or preferential use of cyclists and/or transit. Converting vehicle travel lanes into multimodal facilities reduces the vehicle right-of-way, making drivers wary of traffic and adjacent multimodal lanes.</t>
  </si>
  <si>
    <t>On-Street Parking with High Utilization</t>
  </si>
  <si>
    <t>70%+</t>
  </si>
  <si>
    <t>On-street parking narrows the street and slows traffic by creating friction for moving vehicles, as long as the parking has high utilization.</t>
  </si>
  <si>
    <t>Building Setbacks &lt;20'</t>
  </si>
  <si>
    <t>Signal Progression</t>
  </si>
  <si>
    <t>Signals Timed to Design Speed</t>
  </si>
  <si>
    <t>60%+</t>
  </si>
  <si>
    <t>Every 1000' or less</t>
  </si>
  <si>
    <t>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</si>
</sst>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b/>
      <sz val="36"/>
      <color theme="1"/>
      <name val="Calibri"/>
      <family val="2"/>
      <scheme val="minor"/>
    </font>
    <font>
      <b/>
      <sz val="14"/>
      <color theme="1"/>
      <name val="Calibri"/>
      <family val="2"/>
      <scheme val="minor"/>
    </font>
    <font>
      <b/>
      <u/>
      <sz val="12"/>
      <color theme="1"/>
      <name val="Calibri"/>
      <family val="2"/>
      <scheme val="minor"/>
    </font>
    <font>
      <b/>
      <sz val="12"/>
      <color theme="1"/>
      <name val="Calibri"/>
      <family val="2"/>
      <scheme val="minor"/>
    </font>
    <font>
      <sz val="11"/>
      <name val="Calibri"/>
      <family val="2"/>
      <scheme val="minor"/>
    </font>
    <font>
      <sz val="11"/>
      <color theme="1"/>
      <name val="Calibri"/>
      <family val="2"/>
      <scheme val="minor"/>
    </font>
    <font>
      <b/>
      <vertAlign val="superscript"/>
      <sz val="12"/>
      <color theme="1"/>
      <name val="Calibri"/>
      <family val="2"/>
      <scheme val="minor"/>
    </font>
    <font>
      <b/>
      <sz val="15"/>
      <color theme="3"/>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thick">
        <color theme="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ck">
        <color theme="4"/>
      </top>
      <bottom/>
      <diagonal/>
    </border>
  </borders>
  <cellStyleXfs count="3">
    <xf numFmtId="0" fontId="0" fillId="0" borderId="0"/>
    <xf numFmtId="9" fontId="9" fillId="0" borderId="0" applyFont="0" applyFill="0" applyBorder="0" applyAlignment="0" applyProtection="0"/>
    <xf numFmtId="0" fontId="11" fillId="0" borderId="10" applyNumberFormat="0" applyFill="0" applyAlignment="0" applyProtection="0"/>
  </cellStyleXfs>
  <cellXfs count="50">
    <xf numFmtId="0" fontId="0" fillId="0" borderId="0" xfId="0"/>
    <xf numFmtId="0" fontId="1" fillId="0" borderId="0" xfId="0" applyFont="1"/>
    <xf numFmtId="0" fontId="0" fillId="0" borderId="0" xfId="0" applyAlignment="1">
      <alignment wrapText="1"/>
    </xf>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vertical="top" wrapText="1"/>
    </xf>
    <xf numFmtId="0" fontId="2" fillId="0" borderId="0" xfId="0" applyFont="1"/>
    <xf numFmtId="0" fontId="0" fillId="0" borderId="1" xfId="0" applyBorder="1" applyAlignment="1">
      <alignment horizontal="center" vertical="center"/>
    </xf>
    <xf numFmtId="0" fontId="4" fillId="0" borderId="0" xfId="0" applyFont="1"/>
    <xf numFmtId="0" fontId="7" fillId="0" borderId="0" xfId="0" applyFont="1" applyAlignment="1">
      <alignment horizontal="left" indent="1"/>
    </xf>
    <xf numFmtId="0" fontId="0" fillId="0" borderId="0" xfId="0" applyAlignment="1">
      <alignment horizontal="center" vertical="top" wrapText="1"/>
    </xf>
    <xf numFmtId="0" fontId="1" fillId="3" borderId="0" xfId="0" applyFont="1" applyFill="1"/>
    <xf numFmtId="0" fontId="1" fillId="0" borderId="0" xfId="0" applyFont="1" applyAlignment="1">
      <alignment wrapText="1"/>
    </xf>
    <xf numFmtId="0" fontId="1" fillId="0" borderId="0" xfId="0" applyFont="1" applyAlignment="1">
      <alignment horizontal="center"/>
    </xf>
    <xf numFmtId="0" fontId="0" fillId="0" borderId="0" xfId="0" applyAlignment="1">
      <alignment vertical="center" wrapText="1"/>
    </xf>
    <xf numFmtId="0" fontId="6" fillId="0" borderId="0" xfId="0" applyFont="1" applyAlignment="1">
      <alignment horizontal="center"/>
    </xf>
    <xf numFmtId="0" fontId="0" fillId="0" borderId="0" xfId="0" applyAlignment="1">
      <alignment horizontal="left" vertical="top" wrapText="1"/>
    </xf>
    <xf numFmtId="0" fontId="0" fillId="0" borderId="0" xfId="0" applyAlignment="1">
      <alignment horizontal="center"/>
    </xf>
    <xf numFmtId="0" fontId="2" fillId="0" borderId="0" xfId="0" applyFont="1" applyAlignment="1">
      <alignment horizont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0" xfId="0" applyFont="1" applyAlignment="1">
      <alignment horizontal="center"/>
    </xf>
    <xf numFmtId="0" fontId="0" fillId="0" borderId="0" xfId="0" applyAlignment="1">
      <alignment vertical="center" wrapText="1"/>
    </xf>
    <xf numFmtId="0" fontId="6" fillId="0" borderId="0" xfId="0" applyFont="1" applyAlignment="1">
      <alignment horizontal="center"/>
    </xf>
    <xf numFmtId="9" fontId="5" fillId="0" borderId="5" xfId="1" applyFont="1" applyBorder="1" applyAlignment="1">
      <alignment horizontal="center"/>
    </xf>
    <xf numFmtId="9" fontId="5" fillId="0" borderId="6" xfId="1" applyFont="1" applyBorder="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7" fillId="0" borderId="9" xfId="0" applyFont="1" applyBorder="1" applyAlignment="1">
      <alignment horizontal="left" wrapText="1" indent="1"/>
    </xf>
    <xf numFmtId="0" fontId="7" fillId="0" borderId="0" xfId="0" applyFont="1" applyAlignment="1">
      <alignment horizontal="left" wrapText="1" indent="1"/>
    </xf>
    <xf numFmtId="0" fontId="0" fillId="0" borderId="0" xfId="0" applyAlignment="1">
      <alignment horizontal="left" vertical="top" wrapText="1"/>
    </xf>
    <xf numFmtId="0" fontId="0" fillId="0" borderId="0" xfId="0" applyAlignment="1">
      <alignment horizontal="center"/>
    </xf>
    <xf numFmtId="0" fontId="0" fillId="2" borderId="0" xfId="0" applyFill="1" applyAlignment="1">
      <alignment horizontal="center"/>
    </xf>
    <xf numFmtId="0" fontId="0" fillId="2" borderId="3" xfId="0" applyFill="1" applyBorder="1" applyAlignment="1">
      <alignment horizontal="center"/>
    </xf>
    <xf numFmtId="0" fontId="1" fillId="5" borderId="0" xfId="0" applyFont="1" applyFill="1" applyAlignment="1">
      <alignment horizontal="center"/>
    </xf>
    <xf numFmtId="0" fontId="1" fillId="5" borderId="4" xfId="0" applyFont="1" applyFill="1" applyBorder="1" applyAlignment="1">
      <alignment horizontal="center"/>
    </xf>
    <xf numFmtId="0" fontId="11" fillId="0" borderId="10" xfId="2" applyAlignment="1">
      <alignment horizontal="center"/>
    </xf>
    <xf numFmtId="0" fontId="2" fillId="0" borderId="0" xfId="0" applyFont="1" applyAlignment="1">
      <alignment horizontal="center"/>
    </xf>
    <xf numFmtId="0" fontId="3" fillId="0" borderId="0" xfId="0" applyFont="1" applyAlignment="1">
      <alignment horizontal="center"/>
    </xf>
    <xf numFmtId="0" fontId="1" fillId="0" borderId="14" xfId="0" applyFont="1" applyBorder="1" applyAlignment="1">
      <alignment horizontal="left" wrapText="1"/>
    </xf>
    <xf numFmtId="0" fontId="1" fillId="0" borderId="0" xfId="0" applyFont="1" applyAlignment="1">
      <alignment horizontal="left" wrapText="1"/>
    </xf>
    <xf numFmtId="0" fontId="1" fillId="4" borderId="0" xfId="0" applyFont="1" applyFill="1" applyAlignment="1">
      <alignment horizontal="center"/>
    </xf>
    <xf numFmtId="0" fontId="1" fillId="4" borderId="4" xfId="0" applyFont="1" applyFill="1" applyBorder="1" applyAlignment="1">
      <alignment horizontal="center"/>
    </xf>
    <xf numFmtId="0" fontId="1" fillId="0" borderId="4" xfId="0" applyFont="1" applyBorder="1" applyAlignment="1">
      <alignment horizontal="center"/>
    </xf>
    <xf numFmtId="9" fontId="0" fillId="2" borderId="0" xfId="0" applyNumberFormat="1" applyFill="1" applyAlignment="1">
      <alignment horizontal="center"/>
    </xf>
  </cellXfs>
  <cellStyles count="3">
    <cellStyle name="Heading 1" xfId="2" builtinId="16"/>
    <cellStyle name="Normal" xfId="0" builtinId="0"/>
    <cellStyle name="Percent" xfId="1" builtinId="5"/>
  </cellStyles>
  <dxfs count="6">
    <dxf>
      <fill>
        <patternFill>
          <bgColor rgb="FFC00000"/>
        </patternFill>
      </fill>
    </dxf>
    <dxf>
      <fill>
        <patternFill>
          <bgColor rgb="FFFFC000"/>
        </patternFill>
      </fill>
    </dxf>
    <dxf>
      <fill>
        <patternFill>
          <bgColor rgb="FF00B050"/>
        </patternFill>
      </fill>
    </dxf>
    <dxf>
      <font>
        <b/>
        <i/>
        <u val="double"/>
      </font>
      <fill>
        <patternFill patternType="none">
          <bgColor auto="1"/>
        </patternFill>
      </fill>
    </dxf>
    <dxf>
      <font>
        <b val="0"/>
        <i/>
        <u/>
      </font>
      <fill>
        <patternFill patternType="none">
          <bgColor auto="1"/>
        </patternFill>
      </fill>
    </dxf>
    <dxf>
      <font>
        <b val="0"/>
        <i val="0"/>
        <strike val="0"/>
        <u val="none"/>
        <color auto="1"/>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FC8D-4203-4ADA-B017-B4C7DE17A2D5}">
  <sheetPr>
    <pageSetUpPr fitToPage="1"/>
  </sheetPr>
  <dimension ref="A1:O68"/>
  <sheetViews>
    <sheetView showGridLines="0" tabSelected="1" zoomScaleNormal="100" zoomScaleSheetLayoutView="100" workbookViewId="0">
      <selection activeCell="B7" sqref="B7:L7"/>
    </sheetView>
  </sheetViews>
  <sheetFormatPr defaultColWidth="0" defaultRowHeight="14.45" zeroHeight="1"/>
  <cols>
    <col min="1" max="15" width="9.140625" customWidth="1"/>
    <col min="16" max="16384" width="9.140625" hidden="1"/>
  </cols>
  <sheetData>
    <row r="1" spans="1:12"/>
    <row r="2" spans="1:12" ht="46.15">
      <c r="A2" s="8" t="s">
        <v>0</v>
      </c>
    </row>
    <row r="3" spans="1:12"/>
    <row r="4" spans="1:12"/>
    <row r="5" spans="1:12" ht="15" customHeight="1">
      <c r="B5" s="6" t="s">
        <v>1</v>
      </c>
    </row>
    <row r="6" spans="1:12" ht="70.150000000000006" customHeight="1">
      <c r="B6" s="23" t="s">
        <v>2</v>
      </c>
      <c r="C6" s="23"/>
      <c r="D6" s="23"/>
      <c r="E6" s="23"/>
      <c r="F6" s="23"/>
      <c r="G6" s="23"/>
      <c r="H6" s="23"/>
      <c r="I6" s="23"/>
      <c r="J6" s="23"/>
      <c r="K6" s="23"/>
      <c r="L6" s="23"/>
    </row>
    <row r="7" spans="1:12" ht="42.6" customHeight="1">
      <c r="B7" s="35" t="s">
        <v>3</v>
      </c>
      <c r="C7" s="35"/>
      <c r="D7" s="35"/>
      <c r="E7" s="35"/>
      <c r="F7" s="35"/>
      <c r="G7" s="35"/>
      <c r="H7" s="35"/>
      <c r="I7" s="35"/>
      <c r="J7" s="35"/>
      <c r="K7" s="35"/>
      <c r="L7" s="35"/>
    </row>
    <row r="8" spans="1:12" ht="15" customHeight="1">
      <c r="A8" s="6"/>
      <c r="B8" s="5"/>
      <c r="C8" s="5"/>
      <c r="D8" s="5"/>
      <c r="E8" s="5"/>
      <c r="F8" s="5"/>
      <c r="G8" s="5"/>
      <c r="H8" s="5"/>
      <c r="I8" s="5"/>
      <c r="J8" s="5"/>
      <c r="K8" s="5"/>
      <c r="L8" s="5"/>
    </row>
    <row r="9" spans="1:12" ht="15" customHeight="1">
      <c r="E9" s="2"/>
    </row>
    <row r="10" spans="1:12" ht="15" customHeight="1">
      <c r="B10" s="24" t="s">
        <v>4</v>
      </c>
      <c r="C10" s="24"/>
      <c r="D10" s="24"/>
      <c r="E10" s="24"/>
      <c r="F10" s="24"/>
      <c r="G10" s="24"/>
      <c r="J10" s="17"/>
    </row>
    <row r="11" spans="1:12" ht="15" customHeight="1" thickBot="1">
      <c r="B11" s="15"/>
      <c r="C11" s="15"/>
      <c r="D11" s="15"/>
      <c r="E11" s="15"/>
      <c r="F11" s="15"/>
      <c r="G11" s="15"/>
      <c r="J11" s="17"/>
    </row>
    <row r="12" spans="1:12" ht="30" customHeight="1" thickBot="1">
      <c r="A12" s="2"/>
      <c r="B12" s="27">
        <v>30</v>
      </c>
      <c r="C12" s="28"/>
      <c r="D12" s="9" t="s">
        <v>5</v>
      </c>
      <c r="H12" s="17"/>
      <c r="I12" s="17"/>
      <c r="J12" s="17"/>
    </row>
    <row r="13" spans="1:12" ht="15" customHeight="1" thickBot="1">
      <c r="A13" s="2"/>
      <c r="B13" s="17"/>
      <c r="C13" s="17"/>
      <c r="D13" s="9"/>
      <c r="H13" s="22" t="s">
        <v>6</v>
      </c>
      <c r="I13" s="22"/>
      <c r="J13" s="17"/>
      <c r="K13" s="22" t="s">
        <v>7</v>
      </c>
      <c r="L13" s="22"/>
    </row>
    <row r="14" spans="1:12" ht="15" customHeight="1" thickBot="1">
      <c r="B14" s="25">
        <f>H14/K14</f>
        <v>1.1538461538461537</v>
      </c>
      <c r="C14" s="26"/>
      <c r="D14" s="9" t="s">
        <v>8</v>
      </c>
      <c r="H14" s="29">
        <f>'Speed Increasers'!D27</f>
        <v>30</v>
      </c>
      <c r="I14" s="30"/>
      <c r="J14" s="17"/>
      <c r="K14" s="31">
        <f>'Traffic Calming'!D71</f>
        <v>26</v>
      </c>
      <c r="L14" s="32"/>
    </row>
    <row r="15" spans="1:12" ht="20.100000000000001" customHeight="1" thickBot="1">
      <c r="B15" s="17"/>
      <c r="C15" s="17"/>
      <c r="D15" s="9"/>
      <c r="H15" s="17"/>
      <c r="I15" s="17"/>
      <c r="J15" s="17"/>
    </row>
    <row r="16" spans="1:12" ht="30" customHeight="1" thickBot="1">
      <c r="A16" s="1"/>
      <c r="B16" s="27">
        <f>ROUNDUP(B12*B14,0)</f>
        <v>35</v>
      </c>
      <c r="C16" s="28"/>
      <c r="D16" s="33" t="s">
        <v>9</v>
      </c>
      <c r="E16" s="34"/>
      <c r="F16" s="34"/>
      <c r="G16" s="34"/>
      <c r="H16" s="34"/>
      <c r="I16" s="34"/>
      <c r="J16" s="34"/>
      <c r="K16" s="34"/>
      <c r="L16" s="34"/>
    </row>
    <row r="17" spans="1:14" ht="15" customHeight="1" thickBot="1">
      <c r="A17" s="2"/>
      <c r="B17" s="17"/>
      <c r="C17" s="17"/>
      <c r="D17" s="9"/>
      <c r="H17" s="22"/>
      <c r="I17" s="22"/>
      <c r="J17" s="17"/>
      <c r="K17" s="22"/>
      <c r="L17" s="22"/>
    </row>
    <row r="18" spans="1:14" ht="49.9" customHeight="1" thickTop="1" thickBot="1">
      <c r="A18" s="2"/>
      <c r="B18" s="19" t="str">
        <f>IF($B$16&lt;($B$12-10),"Verify Corridor Speed Increasers and Traffic Calming are correctly accounted for. Are we implementing exccessive calming measures?", (IF($B$16&gt;$B$12, "More Traffic Calming Required", "Appropriate Expected Speed Levels")))</f>
        <v>More Traffic Calming Required</v>
      </c>
      <c r="C18" s="20"/>
      <c r="D18" s="20"/>
      <c r="E18" s="20"/>
      <c r="F18" s="20"/>
      <c r="G18" s="20"/>
      <c r="H18" s="20"/>
      <c r="I18" s="20"/>
      <c r="J18" s="20"/>
      <c r="K18" s="20"/>
      <c r="L18" s="20"/>
      <c r="M18" s="20"/>
      <c r="N18" s="21"/>
    </row>
    <row r="19" spans="1:14" ht="15" customHeight="1" thickTop="1">
      <c r="B19" s="10"/>
      <c r="C19" s="10"/>
      <c r="D19" s="17"/>
      <c r="E19" s="17"/>
      <c r="F19" s="17"/>
      <c r="J19" s="17"/>
    </row>
    <row r="20" spans="1:14" ht="15" customHeight="1">
      <c r="B20" t="s">
        <v>10</v>
      </c>
      <c r="H20" s="17"/>
      <c r="I20" s="17"/>
      <c r="J20" s="17"/>
    </row>
    <row r="21" spans="1:14" ht="15" hidden="1" customHeight="1">
      <c r="D21" s="17"/>
      <c r="E21" s="2"/>
      <c r="J21" s="17"/>
    </row>
    <row r="22" spans="1:14" ht="15" hidden="1" customHeight="1">
      <c r="A22" s="1"/>
      <c r="D22" s="17"/>
      <c r="J22" s="17"/>
    </row>
    <row r="23" spans="1:14" ht="15" hidden="1" customHeight="1">
      <c r="A23" s="2"/>
      <c r="B23" s="17"/>
      <c r="C23" s="17"/>
      <c r="D23" s="17"/>
      <c r="E23" s="2"/>
      <c r="H23" s="17"/>
      <c r="I23" s="17"/>
      <c r="J23" s="17"/>
    </row>
    <row r="24" spans="1:14" ht="15" hidden="1" customHeight="1">
      <c r="D24" s="17"/>
      <c r="E24" s="2"/>
      <c r="H24" s="17"/>
      <c r="I24" s="17"/>
      <c r="J24" s="17"/>
    </row>
    <row r="25" spans="1:14" ht="15" hidden="1" customHeight="1">
      <c r="A25" s="1"/>
      <c r="D25" s="17"/>
      <c r="H25" s="17"/>
      <c r="I25" s="17"/>
      <c r="J25" s="17"/>
    </row>
    <row r="26" spans="1:14" ht="15" hidden="1" customHeight="1">
      <c r="A26" s="2"/>
      <c r="B26" s="17"/>
      <c r="C26" s="17"/>
      <c r="D26" s="17"/>
      <c r="E26" s="2"/>
      <c r="H26" s="17"/>
      <c r="I26" s="1"/>
      <c r="J26" s="1"/>
      <c r="K26" s="17"/>
      <c r="L26" s="1"/>
      <c r="M26" s="1"/>
    </row>
    <row r="27" spans="1:14" ht="15" hidden="1" customHeight="1">
      <c r="D27" s="17"/>
      <c r="E27" s="2"/>
      <c r="I27" s="5"/>
      <c r="J27" s="5"/>
      <c r="K27" s="17"/>
    </row>
    <row r="28" spans="1:14" ht="15" hidden="1" customHeight="1">
      <c r="A28" s="1"/>
      <c r="D28" s="17"/>
      <c r="J28" s="17"/>
    </row>
    <row r="29" spans="1:14" ht="15" hidden="1" customHeight="1">
      <c r="A29" s="2"/>
      <c r="B29" s="17"/>
      <c r="C29" s="17"/>
      <c r="D29" s="17"/>
      <c r="E29" s="2"/>
      <c r="H29" s="17"/>
      <c r="I29" s="17"/>
      <c r="J29" s="17"/>
    </row>
    <row r="30" spans="1:14" ht="15" hidden="1" customHeight="1">
      <c r="D30" s="17"/>
      <c r="H30" s="17"/>
      <c r="I30" s="17"/>
      <c r="J30" s="17"/>
    </row>
    <row r="31" spans="1:14" ht="15" hidden="1" customHeight="1">
      <c r="A31" s="1"/>
      <c r="D31" s="17"/>
      <c r="H31" s="17"/>
      <c r="I31" s="17"/>
      <c r="J31" s="17"/>
    </row>
    <row r="32" spans="1:14" ht="15" hidden="1" customHeight="1">
      <c r="A32" s="16"/>
      <c r="J32" s="17"/>
    </row>
    <row r="33" spans="2:10" ht="15" hidden="1" customHeight="1">
      <c r="H33" s="17"/>
      <c r="I33" s="17"/>
      <c r="J33" s="17"/>
    </row>
    <row r="34" spans="2:10" ht="15" hidden="1" customHeight="1">
      <c r="B34" s="1"/>
      <c r="C34" s="1"/>
      <c r="D34" s="17"/>
      <c r="J34" s="17"/>
    </row>
    <row r="35" spans="2:10" ht="15" hidden="1" customHeight="1">
      <c r="H35" s="17"/>
      <c r="I35" s="17"/>
    </row>
    <row r="36" spans="2:10" ht="15" hidden="1" customHeight="1">
      <c r="H36" s="17"/>
      <c r="I36" s="17"/>
    </row>
    <row r="37" spans="2:10" hidden="1">
      <c r="H37" s="17"/>
      <c r="I37" s="17"/>
    </row>
    <row r="38" spans="2:10" hidden="1">
      <c r="H38" s="17"/>
      <c r="I38" s="17"/>
    </row>
    <row r="39" spans="2:10" hidden="1">
      <c r="H39" s="17"/>
      <c r="I39" s="17"/>
    </row>
    <row r="40" spans="2:10" hidden="1">
      <c r="H40" s="17"/>
      <c r="I40" s="17"/>
    </row>
    <row r="41" spans="2:10" hidden="1">
      <c r="H41" s="17"/>
      <c r="I41" s="17"/>
    </row>
    <row r="42" spans="2:10" hidden="1">
      <c r="H42" s="17"/>
      <c r="I42" s="17"/>
    </row>
    <row r="43" spans="2:10" hidden="1">
      <c r="H43" s="17"/>
      <c r="I43" s="17"/>
    </row>
    <row r="44" spans="2:10" hidden="1">
      <c r="H44" s="17"/>
      <c r="I44" s="17"/>
    </row>
    <row r="45" spans="2:10" hidden="1">
      <c r="H45" s="17"/>
      <c r="I45" s="17"/>
    </row>
    <row r="46" spans="2:10" hidden="1">
      <c r="H46" s="17"/>
      <c r="I46" s="17"/>
    </row>
    <row r="47" spans="2:10" hidden="1">
      <c r="H47" s="17"/>
      <c r="I47" s="17"/>
    </row>
    <row r="48" spans="2:10" hidden="1">
      <c r="H48" s="17"/>
      <c r="I48" s="17"/>
    </row>
    <row r="49" spans="8:9" hidden="1">
      <c r="H49" s="17"/>
      <c r="I49" s="17"/>
    </row>
    <row r="50" spans="8:9" hidden="1">
      <c r="H50" s="17"/>
      <c r="I50" s="17"/>
    </row>
    <row r="51" spans="8:9" hidden="1">
      <c r="H51" s="17"/>
      <c r="I51" s="17"/>
    </row>
    <row r="52" spans="8:9" hidden="1">
      <c r="H52" s="17"/>
      <c r="I52" s="17"/>
    </row>
    <row r="53" spans="8:9" hidden="1">
      <c r="H53" s="17"/>
      <c r="I53" s="17"/>
    </row>
    <row r="54" spans="8:9" hidden="1">
      <c r="H54" s="17"/>
      <c r="I54" s="17"/>
    </row>
    <row r="55" spans="8:9" hidden="1">
      <c r="H55" s="17"/>
      <c r="I55" s="17"/>
    </row>
    <row r="56" spans="8:9" hidden="1">
      <c r="H56" s="17"/>
      <c r="I56" s="17"/>
    </row>
    <row r="57" spans="8:9" hidden="1">
      <c r="H57" s="17"/>
      <c r="I57" s="17"/>
    </row>
    <row r="58" spans="8:9" hidden="1">
      <c r="H58" s="17"/>
      <c r="I58" s="17"/>
    </row>
    <row r="59" spans="8:9" hidden="1">
      <c r="H59" s="17"/>
      <c r="I59" s="17"/>
    </row>
    <row r="60" spans="8:9" hidden="1">
      <c r="H60" s="17"/>
      <c r="I60" s="17"/>
    </row>
    <row r="61" spans="8:9" hidden="1">
      <c r="H61" s="17"/>
      <c r="I61" s="17"/>
    </row>
    <row r="62" spans="8:9" hidden="1">
      <c r="H62" s="17"/>
      <c r="I62" s="17"/>
    </row>
    <row r="63" spans="8:9" hidden="1">
      <c r="H63" s="17"/>
      <c r="I63" s="17"/>
    </row>
    <row r="64" spans="8:9" hidden="1">
      <c r="H64" s="17"/>
      <c r="I64" s="17"/>
    </row>
    <row r="65" spans="8:9" hidden="1">
      <c r="H65" s="17"/>
      <c r="I65" s="17"/>
    </row>
    <row r="66" spans="8:9" hidden="1">
      <c r="H66" s="17"/>
      <c r="I66" s="17"/>
    </row>
    <row r="67" spans="8:9"/>
    <row r="68" spans="8:9"/>
  </sheetData>
  <mergeCells count="15">
    <mergeCell ref="B18:N18"/>
    <mergeCell ref="H17:I17"/>
    <mergeCell ref="K17:L17"/>
    <mergeCell ref="B6:L6"/>
    <mergeCell ref="B10:C10"/>
    <mergeCell ref="B14:C14"/>
    <mergeCell ref="B16:C16"/>
    <mergeCell ref="B12:C12"/>
    <mergeCell ref="H14:I14"/>
    <mergeCell ref="K14:L14"/>
    <mergeCell ref="H13:I13"/>
    <mergeCell ref="K13:L13"/>
    <mergeCell ref="D16:L16"/>
    <mergeCell ref="D10:G10"/>
    <mergeCell ref="B7:L7"/>
  </mergeCells>
  <conditionalFormatting sqref="B18">
    <cfRule type="expression" dxfId="5" priority="1">
      <formula>"B16&lt;B12"</formula>
    </cfRule>
    <cfRule type="expression" dxfId="4" priority="2">
      <formula>B16&gt;B12</formula>
    </cfRule>
    <cfRule type="expression" dxfId="3" priority="3">
      <formula>B16&gt;$B$12+10</formula>
    </cfRule>
  </conditionalFormatting>
  <conditionalFormatting sqref="B14:C14">
    <cfRule type="colorScale" priority="8">
      <colorScale>
        <cfvo type="num" val="-3"/>
        <cfvo type="num" val="0"/>
        <cfvo type="num" val="5"/>
        <color rgb="FFF8696B"/>
        <color rgb="FFFFEB84"/>
        <color rgb="FF63BE7B"/>
      </colorScale>
    </cfRule>
  </conditionalFormatting>
  <conditionalFormatting sqref="B16:C16">
    <cfRule type="cellIs" dxfId="2" priority="4" operator="lessThanOrEqual">
      <formula>$B$12</formula>
    </cfRule>
    <cfRule type="cellIs" dxfId="1" priority="5" operator="between">
      <formula>$B$12+10</formula>
      <formula>$B$12</formula>
    </cfRule>
    <cfRule type="cellIs" dxfId="0" priority="6" operator="greaterThan">
      <formula>$B$12+10</formula>
    </cfRule>
  </conditionalFormatting>
  <dataValidations disablePrompts="1" count="5">
    <dataValidation type="list" allowBlank="1" showInputMessage="1" showErrorMessage="1" sqref="B31:C31" xr:uid="{2AE8B475-5219-4137-B425-196AE1B7E767}">
      <formula1>"&lt;20 ft,20-30ft,&gt;30ft"</formula1>
    </dataValidation>
    <dataValidation type="list" allowBlank="1" showInputMessage="1" showErrorMessage="1" sqref="B28:C28" xr:uid="{F953F518-B8C6-47DA-B5E4-F920EFD04AE7}">
      <formula1>"&lt; 25 ft,&gt;25 ft with Street Trees,&gt;25 ft with no Street Trees"</formula1>
    </dataValidation>
    <dataValidation type="list" allowBlank="1" showInputMessage="1" showErrorMessage="1" sqref="B25:C25" xr:uid="{8A02AFD6-58DB-452A-972A-7FFC2B61E2E9}">
      <formula1>"&lt;500 ft,500-1000 ft,&gt;1000 ft"</formula1>
    </dataValidation>
    <dataValidation type="list" allowBlank="1" showInputMessage="1" showErrorMessage="1" sqref="B22:C22" xr:uid="{79698CC6-7578-40D9-816A-3F809A8554A6}">
      <formula1>"0-30% Utilization,30%-70% Utilization,70%+Utilization"</formula1>
    </dataValidation>
    <dataValidation type="list" allowBlank="1" showInputMessage="1" showErrorMessage="1" sqref="B10:B11" xr:uid="{553FE091-BC95-4839-B14E-D28AF235ADBB}">
      <formula1>"2 Travel Lanes, 4 Travel Lanes, 6 Travel Lanes"</formula1>
    </dataValidation>
  </dataValidations>
  <pageMargins left="0.7" right="0.7" top="0.75" bottom="0.75" header="0.3" footer="0.3"/>
  <pageSetup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DEAD-E3D8-4F51-B839-BFC12DE76386}">
  <sheetPr>
    <tabColor theme="5" tint="0.59999389629810485"/>
    <pageSetUpPr fitToPage="1"/>
  </sheetPr>
  <dimension ref="A2:J60"/>
  <sheetViews>
    <sheetView showGridLines="0" topLeftCell="A2" zoomScaleNormal="100" workbookViewId="0">
      <selection activeCell="A25" sqref="A25"/>
    </sheetView>
  </sheetViews>
  <sheetFormatPr defaultColWidth="0" defaultRowHeight="14.45" zeroHeight="1"/>
  <cols>
    <col min="1" max="1" width="70.7109375" customWidth="1"/>
    <col min="2" max="3" width="20.7109375" customWidth="1"/>
    <col min="4" max="4" width="10.7109375" customWidth="1"/>
    <col min="5" max="5" width="15.7109375" customWidth="1"/>
    <col min="6" max="6" width="9.140625" hidden="1" customWidth="1"/>
    <col min="7" max="7" width="33.7109375" hidden="1" customWidth="1"/>
    <col min="8" max="9" width="16.7109375" hidden="1" customWidth="1"/>
    <col min="10" max="10" width="13.7109375" hidden="1" customWidth="1"/>
    <col min="11" max="16384" width="9.140625" hidden="1"/>
  </cols>
  <sheetData>
    <row r="2" spans="1:10" ht="20.45" thickBot="1">
      <c r="A2" s="41" t="s">
        <v>6</v>
      </c>
      <c r="B2" s="41"/>
      <c r="C2" s="41"/>
      <c r="D2" s="41"/>
    </row>
    <row r="3" spans="1:10" ht="15" thickTop="1">
      <c r="E3" s="2"/>
    </row>
    <row r="4" spans="1:10">
      <c r="A4" s="6" t="s">
        <v>11</v>
      </c>
      <c r="B4" s="42" t="s">
        <v>12</v>
      </c>
      <c r="C4" s="42"/>
      <c r="D4" s="18" t="s">
        <v>13</v>
      </c>
      <c r="G4" s="1"/>
      <c r="H4" s="22"/>
      <c r="I4" s="36"/>
      <c r="J4" s="13"/>
    </row>
    <row r="5" spans="1:10">
      <c r="B5" s="36" t="s">
        <v>14</v>
      </c>
      <c r="C5" s="36"/>
      <c r="E5" s="2"/>
      <c r="H5" s="36"/>
      <c r="I5" s="36"/>
    </row>
    <row r="6" spans="1:10">
      <c r="A6" s="1" t="s">
        <v>15</v>
      </c>
      <c r="B6" s="37" t="s">
        <v>16</v>
      </c>
      <c r="C6" s="38"/>
      <c r="D6" s="3" cm="1">
        <f t="array" ref="D6">_xlfn.SWITCH(B6,"2 Travel Lanes",2,"4 Travel Lanes", 10, "6 Travel Lanes",15)</f>
        <v>10</v>
      </c>
      <c r="H6" s="36"/>
      <c r="I6" s="36"/>
      <c r="J6" s="17"/>
    </row>
    <row r="7" spans="1:10" ht="90" customHeight="1">
      <c r="A7" s="5" t="s">
        <v>17</v>
      </c>
      <c r="B7" s="17"/>
      <c r="C7" s="17"/>
      <c r="D7" s="17"/>
      <c r="H7" s="17"/>
      <c r="I7" s="17"/>
      <c r="J7" s="17"/>
    </row>
    <row r="8" spans="1:10">
      <c r="B8" s="36" t="s">
        <v>18</v>
      </c>
      <c r="C8" s="36"/>
      <c r="D8" s="17"/>
      <c r="H8" s="17"/>
      <c r="I8" s="17"/>
      <c r="J8" s="17"/>
    </row>
    <row r="9" spans="1:10">
      <c r="A9" s="1" t="s">
        <v>19</v>
      </c>
      <c r="B9" s="37" t="s">
        <v>20</v>
      </c>
      <c r="C9" s="38"/>
      <c r="D9" s="3" cm="1">
        <f t="array" ref="D9">_xlfn.SWITCH(B9, "&lt;11 feet", 0, "11-12 feet",7,"12+ feet",15)</f>
        <v>0</v>
      </c>
      <c r="H9" s="17"/>
      <c r="I9" s="17"/>
      <c r="J9" s="17"/>
    </row>
    <row r="10" spans="1:10" ht="61.15" customHeight="1">
      <c r="A10" s="5" t="s">
        <v>21</v>
      </c>
      <c r="B10" s="17"/>
      <c r="C10" s="17"/>
      <c r="D10" s="17"/>
      <c r="E10" s="2"/>
      <c r="H10" s="17"/>
      <c r="I10" s="17"/>
      <c r="J10" s="17"/>
    </row>
    <row r="11" spans="1:10">
      <c r="B11" s="36" t="s">
        <v>22</v>
      </c>
      <c r="C11" s="36"/>
      <c r="D11" s="17"/>
      <c r="E11" s="2"/>
      <c r="H11" s="36"/>
      <c r="I11" s="36"/>
      <c r="J11" s="17"/>
    </row>
    <row r="12" spans="1:10">
      <c r="A12" s="1" t="s">
        <v>23</v>
      </c>
      <c r="B12" s="37" t="s">
        <v>24</v>
      </c>
      <c r="C12" s="38"/>
      <c r="D12" s="3" cm="1">
        <f t="array" ref="D12">_xlfn.SWITCH(B12,"Road Design Speed", 0,"5-10MPH Over", 7, "&gt;10MPH Over",15)</f>
        <v>0</v>
      </c>
      <c r="H12" s="36"/>
      <c r="I12" s="36"/>
      <c r="J12" s="17"/>
    </row>
    <row r="13" spans="1:10" ht="90" customHeight="1">
      <c r="A13" s="5" t="s">
        <v>25</v>
      </c>
      <c r="B13" s="17"/>
      <c r="C13" s="17"/>
      <c r="D13" s="17"/>
      <c r="E13" s="2"/>
      <c r="H13" s="17"/>
      <c r="I13" s="17"/>
      <c r="J13" s="17"/>
    </row>
    <row r="14" spans="1:10">
      <c r="B14" s="36" t="s">
        <v>26</v>
      </c>
      <c r="C14" s="36"/>
      <c r="D14" s="17"/>
      <c r="E14" s="2"/>
      <c r="H14" s="36"/>
      <c r="I14" s="36"/>
      <c r="J14" s="17"/>
    </row>
    <row r="15" spans="1:10">
      <c r="A15" s="1" t="s">
        <v>27</v>
      </c>
      <c r="B15" s="37" t="s">
        <v>28</v>
      </c>
      <c r="C15" s="38"/>
      <c r="D15" s="3" cm="1">
        <f t="array" ref="D15">_xlfn.SWITCH(B15, "0-30% Utilization",15,"30%-70% Utilization",7,"70%+Utilization",0)</f>
        <v>15</v>
      </c>
      <c r="H15" s="36"/>
      <c r="I15" s="36"/>
      <c r="J15" s="17"/>
    </row>
    <row r="16" spans="1:10" ht="90" customHeight="1">
      <c r="A16" s="5" t="s">
        <v>29</v>
      </c>
      <c r="B16" s="17"/>
      <c r="C16" s="17"/>
      <c r="D16" s="17"/>
      <c r="E16" s="2"/>
      <c r="H16" s="17"/>
      <c r="I16" s="17"/>
      <c r="J16" s="17"/>
    </row>
    <row r="17" spans="1:10">
      <c r="B17" s="36" t="s">
        <v>30</v>
      </c>
      <c r="C17" s="36"/>
      <c r="D17" s="17"/>
      <c r="E17" s="2"/>
      <c r="H17" s="17"/>
      <c r="I17" s="17"/>
      <c r="J17" s="17"/>
    </row>
    <row r="18" spans="1:10">
      <c r="A18" s="1" t="s">
        <v>31</v>
      </c>
      <c r="B18" s="37" t="s">
        <v>32</v>
      </c>
      <c r="C18" s="38"/>
      <c r="D18" s="3" cm="1">
        <f t="array" ref="D18">_xlfn.SWITCH(B18,"&lt;500 ft",0,"500-1000 ft",3,"&gt;1000 ft",5)</f>
        <v>5</v>
      </c>
      <c r="H18" s="17"/>
      <c r="I18" s="17"/>
      <c r="J18" s="17"/>
    </row>
    <row r="19" spans="1:10" ht="90" customHeight="1">
      <c r="A19" s="5" t="s">
        <v>33</v>
      </c>
      <c r="B19" s="17"/>
      <c r="C19" s="17"/>
      <c r="D19" s="17"/>
      <c r="E19" s="2"/>
      <c r="H19" s="17"/>
      <c r="I19" s="17"/>
      <c r="J19" s="17"/>
    </row>
    <row r="20" spans="1:10">
      <c r="B20" s="36" t="s">
        <v>34</v>
      </c>
      <c r="C20" s="36"/>
      <c r="D20" s="17"/>
      <c r="E20" s="2"/>
      <c r="H20" s="36"/>
      <c r="I20" s="36"/>
      <c r="J20" s="17"/>
    </row>
    <row r="21" spans="1:10">
      <c r="A21" s="1" t="s">
        <v>35</v>
      </c>
      <c r="B21" s="37" t="s">
        <v>36</v>
      </c>
      <c r="C21" s="37"/>
      <c r="D21" s="3" cm="1">
        <f t="array" ref="D21">_xlfn.SWITCH(B21,"&lt; 25 ft",0,"&gt;25 ft with Street Trees",5,"&gt;25 ft with no Street Trees",7)</f>
        <v>0</v>
      </c>
      <c r="H21" s="36"/>
      <c r="I21" s="36"/>
      <c r="J21" s="17"/>
    </row>
    <row r="22" spans="1:10" ht="90" customHeight="1">
      <c r="A22" s="5" t="s">
        <v>37</v>
      </c>
      <c r="B22" s="17"/>
      <c r="C22" s="17"/>
      <c r="D22" s="17"/>
      <c r="E22" s="2"/>
      <c r="H22" s="17"/>
      <c r="I22" s="17"/>
      <c r="J22" s="17"/>
    </row>
    <row r="23" spans="1:10">
      <c r="B23" s="36" t="s">
        <v>38</v>
      </c>
      <c r="C23" s="36"/>
      <c r="D23" s="17"/>
      <c r="H23" s="17"/>
      <c r="I23" s="17"/>
      <c r="J23" s="17"/>
    </row>
    <row r="24" spans="1:10">
      <c r="A24" s="1" t="s">
        <v>39</v>
      </c>
      <c r="B24" s="37" t="s">
        <v>40</v>
      </c>
      <c r="C24" s="38"/>
      <c r="D24" s="3" cm="1">
        <f t="array" ref="D24">_xlfn.SWITCH(B24,"&lt;20 ft",0,"20-30ft",5,"&gt;30ft",7)</f>
        <v>0</v>
      </c>
      <c r="H24" s="17"/>
      <c r="I24" s="17"/>
      <c r="J24" s="17"/>
    </row>
    <row r="25" spans="1:10" ht="90" customHeight="1">
      <c r="A25" s="16" t="s">
        <v>41</v>
      </c>
      <c r="H25" s="36"/>
      <c r="I25" s="36"/>
      <c r="J25" s="17"/>
    </row>
    <row r="26" spans="1:10" ht="15" thickBot="1">
      <c r="H26" s="17"/>
      <c r="I26" s="17"/>
      <c r="J26" s="17"/>
    </row>
    <row r="27" spans="1:10" ht="15" thickBot="1">
      <c r="B27" s="39" t="s">
        <v>42</v>
      </c>
      <c r="C27" s="40"/>
      <c r="D27" s="4">
        <f>SUM(D6:D24)</f>
        <v>30</v>
      </c>
      <c r="H27" s="36"/>
      <c r="I27" s="36"/>
      <c r="J27" s="17"/>
    </row>
    <row r="28" spans="1:10">
      <c r="H28" s="17"/>
      <c r="I28" s="17"/>
    </row>
    <row r="29" spans="1:10" hidden="1">
      <c r="H29" s="17"/>
      <c r="I29" s="17"/>
    </row>
    <row r="30" spans="1:10" hidden="1">
      <c r="H30" s="17"/>
      <c r="I30" s="17"/>
    </row>
    <row r="31" spans="1:10" hidden="1">
      <c r="H31" s="17"/>
      <c r="I31" s="17"/>
    </row>
    <row r="32" spans="1:10" hidden="1">
      <c r="H32" s="17"/>
      <c r="I32" s="17"/>
    </row>
    <row r="33" spans="8:9" hidden="1">
      <c r="H33" s="17"/>
      <c r="I33" s="17"/>
    </row>
    <row r="34" spans="8:9" hidden="1">
      <c r="H34" s="17"/>
      <c r="I34" s="17"/>
    </row>
    <row r="35" spans="8:9" hidden="1">
      <c r="H35" s="17"/>
      <c r="I35" s="17"/>
    </row>
    <row r="36" spans="8:9" hidden="1">
      <c r="H36" s="17"/>
      <c r="I36" s="17"/>
    </row>
    <row r="37" spans="8:9" hidden="1">
      <c r="H37" s="17"/>
      <c r="I37" s="17"/>
    </row>
    <row r="38" spans="8:9" hidden="1">
      <c r="H38" s="17"/>
      <c r="I38" s="17"/>
    </row>
    <row r="39" spans="8:9" hidden="1">
      <c r="H39" s="17"/>
      <c r="I39" s="17"/>
    </row>
    <row r="40" spans="8:9" hidden="1">
      <c r="H40" s="17"/>
      <c r="I40" s="17"/>
    </row>
    <row r="41" spans="8:9" hidden="1">
      <c r="H41" s="17"/>
      <c r="I41" s="17"/>
    </row>
    <row r="42" spans="8:9" hidden="1">
      <c r="H42" s="17"/>
      <c r="I42" s="17"/>
    </row>
    <row r="43" spans="8:9" hidden="1">
      <c r="H43" s="17"/>
      <c r="I43" s="17"/>
    </row>
    <row r="44" spans="8:9" hidden="1">
      <c r="H44" s="17"/>
      <c r="I44" s="17"/>
    </row>
    <row r="45" spans="8:9" hidden="1">
      <c r="H45" s="17"/>
      <c r="I45" s="17"/>
    </row>
    <row r="46" spans="8:9" hidden="1">
      <c r="H46" s="17"/>
      <c r="I46" s="17"/>
    </row>
    <row r="47" spans="8:9" hidden="1">
      <c r="H47" s="17"/>
      <c r="I47" s="17"/>
    </row>
    <row r="48" spans="8:9" hidden="1">
      <c r="H48" s="17"/>
      <c r="I48" s="17"/>
    </row>
    <row r="49" spans="8:9" hidden="1">
      <c r="H49" s="17"/>
      <c r="I49" s="17"/>
    </row>
    <row r="50" spans="8:9" hidden="1">
      <c r="H50" s="17"/>
      <c r="I50" s="17"/>
    </row>
    <row r="51" spans="8:9" hidden="1">
      <c r="H51" s="17"/>
      <c r="I51" s="17"/>
    </row>
    <row r="52" spans="8:9" hidden="1">
      <c r="H52" s="17"/>
      <c r="I52" s="17"/>
    </row>
    <row r="53" spans="8:9" hidden="1">
      <c r="H53" s="17"/>
      <c r="I53" s="17"/>
    </row>
    <row r="54" spans="8:9" hidden="1">
      <c r="H54" s="17"/>
      <c r="I54" s="17"/>
    </row>
    <row r="55" spans="8:9" hidden="1">
      <c r="H55" s="17"/>
      <c r="I55" s="17"/>
    </row>
    <row r="56" spans="8:9" hidden="1">
      <c r="H56" s="17"/>
      <c r="I56" s="17"/>
    </row>
    <row r="57" spans="8:9" hidden="1">
      <c r="H57" s="17"/>
      <c r="I57" s="17"/>
    </row>
    <row r="58" spans="8:9" hidden="1">
      <c r="H58" s="17"/>
      <c r="I58" s="17"/>
    </row>
    <row r="59" spans="8:9" hidden="1">
      <c r="H59" s="17"/>
      <c r="I59" s="17"/>
    </row>
    <row r="60" spans="8:9"/>
  </sheetData>
  <mergeCells count="28">
    <mergeCell ref="A2:D2"/>
    <mergeCell ref="H12:I12"/>
    <mergeCell ref="B4:C4"/>
    <mergeCell ref="H4:I4"/>
    <mergeCell ref="H5:I5"/>
    <mergeCell ref="H6:I6"/>
    <mergeCell ref="H11:I11"/>
    <mergeCell ref="B6:C6"/>
    <mergeCell ref="B8:C8"/>
    <mergeCell ref="B9:C9"/>
    <mergeCell ref="B5:C5"/>
    <mergeCell ref="B11:C11"/>
    <mergeCell ref="B12:C12"/>
    <mergeCell ref="H27:I27"/>
    <mergeCell ref="H14:I14"/>
    <mergeCell ref="H15:I15"/>
    <mergeCell ref="H20:I20"/>
    <mergeCell ref="B21:C21"/>
    <mergeCell ref="H21:I21"/>
    <mergeCell ref="H25:I25"/>
    <mergeCell ref="B14:C14"/>
    <mergeCell ref="B15:C15"/>
    <mergeCell ref="B17:C17"/>
    <mergeCell ref="B18:C18"/>
    <mergeCell ref="B20:C20"/>
    <mergeCell ref="B24:C24"/>
    <mergeCell ref="B23:C23"/>
    <mergeCell ref="B27:C27"/>
  </mergeCells>
  <dataValidations count="7">
    <dataValidation type="list" allowBlank="1" showInputMessage="1" showErrorMessage="1" sqref="B6:C6" xr:uid="{A66735AF-EC5B-4C4D-B496-E409FCF8F734}">
      <formula1>"2 Travel Lanes, 4 Travel Lanes, 6 Travel Lanes"</formula1>
    </dataValidation>
    <dataValidation type="list" allowBlank="1" showInputMessage="1" showErrorMessage="1" sqref="B9:C9" xr:uid="{9D640DAE-5673-42FC-BC1A-28CBD9FD4D61}">
      <formula1>"&lt;11 feet, 11-12 feet, 12+ feet"</formula1>
    </dataValidation>
    <dataValidation type="list" allowBlank="1" showInputMessage="1" showErrorMessage="1" sqref="B12:C12" xr:uid="{AF21FD87-3901-4B94-BB5F-3E495D3D22E0}">
      <formula1>"Road Design Speed, 5-10MPH Over, &gt;10MPH Over"</formula1>
    </dataValidation>
    <dataValidation type="list" allowBlank="1" showInputMessage="1" showErrorMessage="1" sqref="B15:C15" xr:uid="{1BFC6234-BCCD-450D-9431-0E1A3C35F28B}">
      <formula1>"0-30% Utilization,30%-70% Utilization,70%+Utilization"</formula1>
    </dataValidation>
    <dataValidation type="list" allowBlank="1" showInputMessage="1" showErrorMessage="1" sqref="B18:C18" xr:uid="{1DAE8012-1DCA-42D9-8D61-283F7092641A}">
      <formula1>"&lt;500 ft,500-1000 ft,&gt;1000 ft"</formula1>
    </dataValidation>
    <dataValidation type="list" allowBlank="1" showInputMessage="1" showErrorMessage="1" sqref="B21:C21" xr:uid="{881244A4-5747-45E0-8792-80D9BDD8AC94}">
      <formula1>"&lt; 25 ft,&gt;25 ft with Street Trees,&gt;25 ft with no Street Trees"</formula1>
    </dataValidation>
    <dataValidation type="list" allowBlank="1" showInputMessage="1" showErrorMessage="1" sqref="B24:C24" xr:uid="{0CAD6AE1-C104-4DB7-BA75-FBC2636E68DA}">
      <formula1>"&lt;20 ft,20-30ft,&gt;30ft"</formula1>
    </dataValidation>
  </dataValidations>
  <pageMargins left="0.7" right="0.7" top="0.75" bottom="0.75" header="0.3" footer="0.3"/>
  <pageSetup scale="7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04FE-0F0B-4E5D-A5D2-05651EA52672}">
  <sheetPr>
    <tabColor theme="9" tint="0.59999389629810485"/>
    <pageSetUpPr fitToPage="1"/>
  </sheetPr>
  <dimension ref="A2:J78"/>
  <sheetViews>
    <sheetView showGridLines="0" topLeftCell="A2" zoomScaleNormal="100" workbookViewId="0">
      <selection activeCell="A13" sqref="A13:XFD15"/>
    </sheetView>
  </sheetViews>
  <sheetFormatPr defaultColWidth="0" defaultRowHeight="14.45" zeroHeight="1"/>
  <cols>
    <col min="1" max="1" width="70.7109375" customWidth="1"/>
    <col min="2" max="3" width="20.7109375" customWidth="1"/>
    <col min="4" max="4" width="13.7109375" customWidth="1"/>
    <col min="5" max="5" width="9.140625" customWidth="1"/>
  </cols>
  <sheetData>
    <row r="2" spans="1:10" ht="20.45" thickBot="1">
      <c r="A2" s="41" t="s">
        <v>7</v>
      </c>
      <c r="B2" s="41"/>
      <c r="C2" s="41"/>
      <c r="D2" s="41"/>
    </row>
    <row r="3" spans="1:10" s="12" customFormat="1" ht="30" customHeight="1" thickTop="1">
      <c r="A3" s="44" t="s">
        <v>43</v>
      </c>
      <c r="B3" s="44"/>
      <c r="C3" s="44"/>
      <c r="D3" s="44"/>
    </row>
    <row r="4" spans="1:10">
      <c r="A4" s="45"/>
      <c r="B4" s="45"/>
      <c r="C4" s="45"/>
      <c r="D4" s="45"/>
    </row>
    <row r="5" spans="1:10"/>
    <row r="6" spans="1:10">
      <c r="A6" s="6" t="s">
        <v>11</v>
      </c>
      <c r="B6" s="42" t="s">
        <v>12</v>
      </c>
      <c r="C6" s="43"/>
      <c r="D6" s="18" t="s">
        <v>44</v>
      </c>
    </row>
    <row r="7" spans="1:10">
      <c r="B7" s="36"/>
      <c r="C7" s="36"/>
    </row>
    <row r="8" spans="1:10">
      <c r="A8" s="1" t="s">
        <v>45</v>
      </c>
      <c r="B8" s="37" t="s">
        <v>46</v>
      </c>
      <c r="C8" s="37"/>
      <c r="D8" s="3" cm="1">
        <f t="array" ref="D8">_xlfn.SWITCH(B8,"Not Applicable",0,"Lanes Reduced",5)</f>
        <v>0</v>
      </c>
    </row>
    <row r="9" spans="1:10" ht="90" customHeight="1">
      <c r="A9" s="14" t="s">
        <v>47</v>
      </c>
      <c r="B9" s="17"/>
      <c r="C9" s="17"/>
      <c r="D9" s="17"/>
    </row>
    <row r="10" spans="1:10">
      <c r="B10" s="36" t="s">
        <v>48</v>
      </c>
      <c r="C10" s="36"/>
      <c r="D10" s="17"/>
    </row>
    <row r="11" spans="1:10">
      <c r="A11" s="1" t="s">
        <v>49</v>
      </c>
      <c r="B11" s="37" t="s">
        <v>50</v>
      </c>
      <c r="C11" s="37"/>
      <c r="D11" s="3" cm="1">
        <f t="array" ref="D11">_xlfn.SWITCH(B11,"9-10'",5,"11'",2,"12'+",0)</f>
        <v>2</v>
      </c>
    </row>
    <row r="12" spans="1:10" ht="90" customHeight="1">
      <c r="A12" s="14" t="s">
        <v>51</v>
      </c>
      <c r="B12" s="17"/>
      <c r="C12" s="17"/>
      <c r="D12" s="17"/>
    </row>
    <row r="13" spans="1:10">
      <c r="B13" s="36"/>
      <c r="C13" s="36"/>
      <c r="D13" s="17"/>
      <c r="I13" s="36"/>
      <c r="J13" s="36"/>
    </row>
    <row r="14" spans="1:10">
      <c r="A14" s="1" t="s">
        <v>52</v>
      </c>
      <c r="B14" s="37" t="s">
        <v>46</v>
      </c>
      <c r="C14" s="37"/>
      <c r="D14" s="3" cm="1">
        <f t="array" ref="D14">_xlfn.SWITCH(B14,"Not Applicable",0,"Converted to Shared Street",5)</f>
        <v>0</v>
      </c>
      <c r="I14" s="36"/>
      <c r="J14" s="36"/>
    </row>
    <row r="15" spans="1:10" ht="90" customHeight="1">
      <c r="A15" s="14" t="s">
        <v>53</v>
      </c>
      <c r="B15" s="17"/>
      <c r="C15" s="17"/>
      <c r="D15" s="17"/>
      <c r="I15" s="17"/>
      <c r="J15" s="17"/>
    </row>
    <row r="16" spans="1:10">
      <c r="B16" s="36" t="s">
        <v>54</v>
      </c>
      <c r="C16" s="36"/>
      <c r="D16" s="17"/>
      <c r="I16" s="17"/>
      <c r="J16" s="17"/>
    </row>
    <row r="17" spans="1:10">
      <c r="A17" s="1" t="s">
        <v>55</v>
      </c>
      <c r="B17" s="37" t="s">
        <v>56</v>
      </c>
      <c r="C17" s="37"/>
      <c r="D17" s="3" cm="1">
        <f t="array" ref="D17">_xlfn.SWITCH(B17,"No Multimodal Lane",0,"Protected Bike Lane",2,"Bus Lane",5)</f>
        <v>0</v>
      </c>
      <c r="I17" s="17"/>
      <c r="J17" s="17"/>
    </row>
    <row r="18" spans="1:10" ht="90" customHeight="1">
      <c r="A18" s="14" t="s">
        <v>57</v>
      </c>
      <c r="B18" s="17"/>
      <c r="C18" s="17"/>
      <c r="D18" s="17"/>
      <c r="I18" s="17"/>
      <c r="J18" s="17"/>
    </row>
    <row r="19" spans="1:10">
      <c r="B19" s="36" t="s">
        <v>26</v>
      </c>
      <c r="C19" s="36"/>
      <c r="D19" s="17"/>
      <c r="I19" s="36"/>
      <c r="J19" s="36"/>
    </row>
    <row r="20" spans="1:10">
      <c r="A20" s="1" t="s">
        <v>58</v>
      </c>
      <c r="B20" s="37" t="s">
        <v>59</v>
      </c>
      <c r="C20" s="37"/>
      <c r="D20" s="3" cm="1">
        <f t="array" ref="D20">_xlfn.SWITCH(B20,"Street Trees",3,"Building Setbacks &lt;20'",5,"Not Applicable",0)</f>
        <v>3</v>
      </c>
      <c r="I20" s="17"/>
      <c r="J20" s="17"/>
    </row>
    <row r="21" spans="1:10" ht="90" customHeight="1">
      <c r="A21" s="14" t="s">
        <v>60</v>
      </c>
      <c r="D21" s="17"/>
    </row>
    <row r="22" spans="1:10">
      <c r="B22" s="36"/>
      <c r="C22" s="36"/>
      <c r="D22" s="17"/>
      <c r="I22" s="36"/>
      <c r="J22" s="36"/>
    </row>
    <row r="23" spans="1:10">
      <c r="A23" s="1" t="s">
        <v>61</v>
      </c>
      <c r="B23" s="37" t="s">
        <v>46</v>
      </c>
      <c r="C23" s="37"/>
      <c r="D23" s="3" cm="1">
        <f t="array" ref="D23">_xlfn.SWITCH(B23,"Not Applicable",0,"Signals Timed to Design Speed", 6)</f>
        <v>0</v>
      </c>
      <c r="I23" s="36"/>
      <c r="J23" s="36"/>
    </row>
    <row r="24" spans="1:10" ht="90" customHeight="1">
      <c r="A24" s="14" t="s">
        <v>62</v>
      </c>
      <c r="B24" s="17"/>
      <c r="C24" s="17"/>
      <c r="D24" s="17"/>
      <c r="I24" s="17"/>
      <c r="J24" s="17"/>
    </row>
    <row r="25" spans="1:10">
      <c r="B25" s="36" t="s">
        <v>63</v>
      </c>
      <c r="C25" s="36"/>
      <c r="I25" s="17"/>
      <c r="J25" s="17"/>
    </row>
    <row r="26" spans="1:10">
      <c r="A26" s="1" t="s">
        <v>64</v>
      </c>
      <c r="B26" s="37" t="s">
        <v>65</v>
      </c>
      <c r="C26" s="37"/>
      <c r="D26" s="7" cm="1">
        <f t="array" ref="D26">_xlfn.SWITCH(B26,"0-30%",0,"30%-60%",3,"60%+",5)</f>
        <v>0</v>
      </c>
      <c r="I26" s="17"/>
      <c r="J26" s="17"/>
    </row>
    <row r="27" spans="1:10" ht="90" customHeight="1">
      <c r="A27" s="14" t="s">
        <v>66</v>
      </c>
      <c r="B27" s="17"/>
      <c r="C27" s="17"/>
      <c r="D27" s="17"/>
      <c r="I27" s="17"/>
      <c r="J27" s="17"/>
    </row>
    <row r="28" spans="1:10">
      <c r="B28" s="36" t="s">
        <v>67</v>
      </c>
      <c r="C28" s="36"/>
      <c r="D28" s="17"/>
      <c r="I28" s="17"/>
      <c r="J28" s="17"/>
    </row>
    <row r="29" spans="1:10">
      <c r="A29" s="1" t="s">
        <v>68</v>
      </c>
      <c r="B29" s="37" t="s">
        <v>69</v>
      </c>
      <c r="C29" s="37"/>
      <c r="D29" s="3" cm="1">
        <f t="array" ref="D29">_xlfn.SWITCH(B29,"Not Present",0,"Every 2500' or less",2,"Every 1000' or less",5)</f>
        <v>2</v>
      </c>
      <c r="I29" s="17"/>
      <c r="J29" s="17"/>
    </row>
    <row r="30" spans="1:10" ht="90" customHeight="1">
      <c r="A30" s="14" t="s">
        <v>70</v>
      </c>
      <c r="B30" s="17"/>
      <c r="C30" s="17"/>
      <c r="D30" s="17"/>
      <c r="I30" s="17"/>
      <c r="J30" s="17"/>
    </row>
    <row r="31" spans="1:10">
      <c r="B31" s="36" t="s">
        <v>71</v>
      </c>
      <c r="C31" s="36"/>
      <c r="D31" s="17"/>
      <c r="I31" s="17"/>
      <c r="J31" s="17"/>
    </row>
    <row r="32" spans="1:10">
      <c r="A32" s="1" t="s">
        <v>72</v>
      </c>
      <c r="B32" s="37" t="s">
        <v>69</v>
      </c>
      <c r="C32" s="37"/>
      <c r="D32" s="3" cm="1">
        <f t="array" ref="D32">_xlfn.SWITCH(B32,"Not Present",0,"Every 2500' or less",5,"Every 1000' or less",10)</f>
        <v>5</v>
      </c>
      <c r="I32" s="17"/>
      <c r="J32" s="17"/>
    </row>
    <row r="33" spans="1:10" ht="90" customHeight="1">
      <c r="A33" s="14" t="s">
        <v>73</v>
      </c>
      <c r="B33" s="17"/>
      <c r="C33" s="17"/>
      <c r="D33" s="17"/>
      <c r="I33" s="17"/>
      <c r="J33" s="17"/>
    </row>
    <row r="34" spans="1:10">
      <c r="B34" s="36" t="s">
        <v>74</v>
      </c>
      <c r="C34" s="36"/>
      <c r="D34" s="17"/>
      <c r="I34" s="17"/>
      <c r="J34" s="17"/>
    </row>
    <row r="35" spans="1:10">
      <c r="A35" s="1" t="s">
        <v>75</v>
      </c>
      <c r="B35" s="37" t="s">
        <v>76</v>
      </c>
      <c r="C35" s="37"/>
      <c r="D35" s="3" cm="1">
        <f t="array" ref="D35">_xlfn.SWITCH(B35,"Not Present",0,"Every 2500' or less",5,"Every 1000' or less",10)</f>
        <v>0</v>
      </c>
      <c r="I35" s="17"/>
      <c r="J35" s="17"/>
    </row>
    <row r="36" spans="1:10" ht="90" customHeight="1">
      <c r="A36" s="14" t="s">
        <v>77</v>
      </c>
      <c r="B36" s="17"/>
      <c r="C36" s="17"/>
      <c r="D36" s="17"/>
      <c r="I36" s="17"/>
      <c r="J36" s="17"/>
    </row>
    <row r="37" spans="1:10">
      <c r="B37" s="36" t="s">
        <v>78</v>
      </c>
      <c r="C37" s="36"/>
      <c r="D37" s="17"/>
      <c r="I37" s="17"/>
      <c r="J37" s="17"/>
    </row>
    <row r="38" spans="1:10">
      <c r="A38" s="1" t="s">
        <v>79</v>
      </c>
      <c r="B38" s="37" t="s">
        <v>69</v>
      </c>
      <c r="C38" s="37"/>
      <c r="D38" s="3" cm="1">
        <f t="array" ref="D38">_xlfn.SWITCH(B38,"Not Present",0,"Every 2500' or less",4,"Every 1000' or less",7)</f>
        <v>4</v>
      </c>
      <c r="I38" s="17"/>
      <c r="J38" s="17"/>
    </row>
    <row r="39" spans="1:10" ht="90" customHeight="1">
      <c r="A39" s="14" t="s">
        <v>80</v>
      </c>
      <c r="B39" s="17"/>
      <c r="C39" s="17"/>
      <c r="D39" s="17"/>
      <c r="I39" s="17"/>
      <c r="J39" s="17"/>
    </row>
    <row r="40" spans="1:10">
      <c r="B40" s="36" t="s">
        <v>81</v>
      </c>
      <c r="C40" s="36"/>
      <c r="D40" s="17"/>
      <c r="I40" s="17"/>
      <c r="J40" s="17"/>
    </row>
    <row r="41" spans="1:10">
      <c r="A41" s="1" t="s">
        <v>82</v>
      </c>
      <c r="B41" s="37" t="s">
        <v>76</v>
      </c>
      <c r="C41" s="37"/>
      <c r="D41" s="3" cm="1">
        <f t="array" ref="D41">_xlfn.SWITCH(B41,"Not Present",0,"Every 2500' or less",4,"Every 1000' or less",7)</f>
        <v>0</v>
      </c>
      <c r="I41" s="17"/>
      <c r="J41" s="17"/>
    </row>
    <row r="42" spans="1:10" ht="90" customHeight="1">
      <c r="A42" s="14" t="s">
        <v>83</v>
      </c>
      <c r="B42" s="17"/>
      <c r="C42" s="17"/>
      <c r="D42" s="17"/>
      <c r="I42" s="17"/>
      <c r="J42" s="17"/>
    </row>
    <row r="43" spans="1:10">
      <c r="B43" s="36" t="s">
        <v>84</v>
      </c>
      <c r="C43" s="36"/>
      <c r="D43" s="17"/>
      <c r="I43" s="17"/>
      <c r="J43" s="17"/>
    </row>
    <row r="44" spans="1:10">
      <c r="A44" s="1" t="s">
        <v>85</v>
      </c>
      <c r="B44" s="37" t="s">
        <v>76</v>
      </c>
      <c r="C44" s="37"/>
      <c r="D44" s="3" cm="1">
        <f t="array" ref="D44">_xlfn.SWITCH(B44,"Not Present",0,"Every 2500' or less",5,"Every 1000' or less",10)</f>
        <v>0</v>
      </c>
      <c r="I44" s="17"/>
      <c r="J44" s="17"/>
    </row>
    <row r="45" spans="1:10" ht="90" customHeight="1">
      <c r="A45" s="14" t="s">
        <v>86</v>
      </c>
      <c r="B45" s="17"/>
      <c r="C45" s="17"/>
      <c r="D45" s="17"/>
      <c r="I45" s="17"/>
      <c r="J45" s="17"/>
    </row>
    <row r="46" spans="1:10">
      <c r="B46" s="36" t="s">
        <v>87</v>
      </c>
      <c r="C46" s="36"/>
      <c r="D46" s="17"/>
      <c r="I46" s="17"/>
      <c r="J46" s="17"/>
    </row>
    <row r="47" spans="1:10">
      <c r="A47" s="1" t="s">
        <v>88</v>
      </c>
      <c r="B47" s="37" t="s">
        <v>89</v>
      </c>
      <c r="C47" s="37"/>
      <c r="D47" s="3" cm="1">
        <f t="array" ref="D47">_xlfn.SWITCH(B47,"0-15'",5,"16-20'",3,"21'+",0)</f>
        <v>3</v>
      </c>
      <c r="I47" s="17"/>
      <c r="J47" s="17"/>
    </row>
    <row r="48" spans="1:10" ht="90" customHeight="1">
      <c r="A48" s="14" t="s">
        <v>90</v>
      </c>
      <c r="B48" s="17"/>
      <c r="C48" s="17"/>
      <c r="D48" s="17"/>
      <c r="I48" s="17"/>
      <c r="J48" s="17"/>
    </row>
    <row r="49" spans="1:4">
      <c r="B49" s="36" t="s">
        <v>91</v>
      </c>
      <c r="C49" s="36"/>
      <c r="D49" s="17"/>
    </row>
    <row r="50" spans="1:4">
      <c r="A50" s="1" t="s">
        <v>92</v>
      </c>
      <c r="B50" s="37" t="s">
        <v>76</v>
      </c>
      <c r="C50" s="37"/>
      <c r="D50" s="3" cm="1">
        <f t="array" ref="D50">_xlfn.SWITCH(B50,"Not Present",0,"Every 2500' or less",8,"Every 1000' or less",15)</f>
        <v>0</v>
      </c>
    </row>
    <row r="51" spans="1:4" ht="90" customHeight="1">
      <c r="A51" s="14" t="s">
        <v>93</v>
      </c>
      <c r="B51" s="17"/>
      <c r="C51" s="17"/>
      <c r="D51" s="17"/>
    </row>
    <row r="52" spans="1:4">
      <c r="A52" s="14"/>
      <c r="B52" s="36" t="s">
        <v>94</v>
      </c>
      <c r="C52" s="36"/>
      <c r="D52" s="17"/>
    </row>
    <row r="53" spans="1:4">
      <c r="A53" s="1" t="s">
        <v>95</v>
      </c>
      <c r="B53" s="37" t="s">
        <v>76</v>
      </c>
      <c r="C53" s="37"/>
      <c r="D53" s="3" cm="1">
        <f t="array" ref="D53">_xlfn.SWITCH(B53,"Not Present",0,"Every 2500' or less",6,"Every 1000' or less",10)</f>
        <v>0</v>
      </c>
    </row>
    <row r="54" spans="1:4" ht="90" customHeight="1">
      <c r="A54" s="14" t="s">
        <v>96</v>
      </c>
      <c r="B54" s="17"/>
      <c r="C54" s="17"/>
    </row>
    <row r="55" spans="1:4">
      <c r="A55" s="14"/>
      <c r="B55" s="36" t="s">
        <v>97</v>
      </c>
      <c r="C55" s="36"/>
      <c r="D55" s="17"/>
    </row>
    <row r="56" spans="1:4">
      <c r="A56" s="1" t="s">
        <v>98</v>
      </c>
      <c r="B56" s="37" t="s">
        <v>46</v>
      </c>
      <c r="C56" s="37"/>
      <c r="D56" s="3" cm="1">
        <f t="array" ref="D56">_xlfn.SWITCH(B56,"Not Applicable",0,"Intersection Realigned",10)</f>
        <v>0</v>
      </c>
    </row>
    <row r="57" spans="1:4" ht="90" customHeight="1">
      <c r="A57" s="14" t="s">
        <v>99</v>
      </c>
      <c r="B57" s="17"/>
      <c r="C57" s="17"/>
    </row>
    <row r="58" spans="1:4">
      <c r="A58" s="14"/>
      <c r="B58" s="36" t="s">
        <v>100</v>
      </c>
      <c r="C58" s="36"/>
      <c r="D58" s="17"/>
    </row>
    <row r="59" spans="1:4">
      <c r="A59" s="1" t="s">
        <v>101</v>
      </c>
      <c r="B59" s="37" t="s">
        <v>69</v>
      </c>
      <c r="C59" s="37"/>
      <c r="D59" s="3" cm="1">
        <f t="array" ref="D59">_xlfn.SWITCH(B59,"Not Present",0,"Every 2500' or less",7,"Every 1000' or less",11)</f>
        <v>7</v>
      </c>
    </row>
    <row r="60" spans="1:4" ht="90" customHeight="1">
      <c r="A60" s="14" t="s">
        <v>102</v>
      </c>
      <c r="B60" s="17"/>
      <c r="C60" s="17"/>
    </row>
    <row r="61" spans="1:4">
      <c r="A61" s="14"/>
      <c r="B61" s="36" t="s">
        <v>103</v>
      </c>
      <c r="C61" s="36"/>
      <c r="D61" s="17"/>
    </row>
    <row r="62" spans="1:4">
      <c r="A62" s="1" t="s">
        <v>104</v>
      </c>
      <c r="B62" s="37" t="s">
        <v>76</v>
      </c>
      <c r="C62" s="37"/>
      <c r="D62" s="3" cm="1">
        <f t="array" ref="D62">_xlfn.SWITCH(B62,"Not Present",0,"Every 2500' or less",3,"Every 1000' or less",7)</f>
        <v>0</v>
      </c>
    </row>
    <row r="63" spans="1:4" ht="90" customHeight="1">
      <c r="A63" s="14" t="s">
        <v>105</v>
      </c>
      <c r="B63" s="17"/>
      <c r="C63" s="17"/>
    </row>
    <row r="64" spans="1:4">
      <c r="B64" s="36" t="s">
        <v>106</v>
      </c>
      <c r="C64" s="36"/>
      <c r="D64" s="17"/>
    </row>
    <row r="65" spans="1:4">
      <c r="A65" s="1" t="s">
        <v>107</v>
      </c>
      <c r="B65" s="37" t="s">
        <v>76</v>
      </c>
      <c r="C65" s="37"/>
      <c r="D65" s="3" cm="1">
        <f t="array" ref="D65">_xlfn.SWITCH(B65,"Not Present",0,"Every 2500' or less",8,"Every 1000' or less",13)</f>
        <v>0</v>
      </c>
    </row>
    <row r="66" spans="1:4" ht="90" customHeight="1">
      <c r="A66" s="14" t="s">
        <v>108</v>
      </c>
      <c r="B66" s="17"/>
      <c r="C66" s="17"/>
    </row>
    <row r="67" spans="1:4">
      <c r="B67" s="36" t="s">
        <v>109</v>
      </c>
      <c r="C67" s="36"/>
      <c r="D67" s="17"/>
    </row>
    <row r="68" spans="1:4">
      <c r="A68" s="1" t="s">
        <v>110</v>
      </c>
      <c r="B68" s="37" t="s">
        <v>76</v>
      </c>
      <c r="C68" s="37"/>
      <c r="D68" s="3" cm="1">
        <f t="array" ref="D68">_xlfn.SWITCH(B68,"Not Present",0,"Every 3000' or less",12,"Every 1500' or less",20)</f>
        <v>0</v>
      </c>
    </row>
    <row r="69" spans="1:4" ht="90" customHeight="1">
      <c r="A69" s="14" t="s">
        <v>111</v>
      </c>
      <c r="B69" s="17"/>
      <c r="C69" s="17"/>
    </row>
    <row r="70" spans="1:4" ht="15" thickBot="1">
      <c r="B70" s="17"/>
      <c r="C70" s="17"/>
    </row>
    <row r="71" spans="1:4" ht="15" thickBot="1">
      <c r="B71" s="46" t="s">
        <v>112</v>
      </c>
      <c r="C71" s="47"/>
      <c r="D71" s="4">
        <f>SUM(D8:D70)</f>
        <v>26</v>
      </c>
    </row>
    <row r="72" spans="1:4"/>
    <row r="73" spans="1:4"/>
    <row r="74" spans="1:4"/>
    <row r="75" spans="1:4"/>
    <row r="76" spans="1:4"/>
    <row r="77" spans="1:4"/>
    <row r="78" spans="1:4"/>
  </sheetData>
  <mergeCells count="51">
    <mergeCell ref="A3:D4"/>
    <mergeCell ref="A2:D2"/>
    <mergeCell ref="B71:C71"/>
    <mergeCell ref="B52:C52"/>
    <mergeCell ref="B53:C53"/>
    <mergeCell ref="B55:C55"/>
    <mergeCell ref="B56:C56"/>
    <mergeCell ref="B59:C59"/>
    <mergeCell ref="B58:C58"/>
    <mergeCell ref="B61:C61"/>
    <mergeCell ref="B62:C62"/>
    <mergeCell ref="B64:C64"/>
    <mergeCell ref="B65:C65"/>
    <mergeCell ref="B67:C67"/>
    <mergeCell ref="B68:C68"/>
    <mergeCell ref="B44:C44"/>
    <mergeCell ref="B46:C46"/>
    <mergeCell ref="B47:C47"/>
    <mergeCell ref="B49:C49"/>
    <mergeCell ref="B50:C50"/>
    <mergeCell ref="B37:C37"/>
    <mergeCell ref="B38:C38"/>
    <mergeCell ref="B40:C40"/>
    <mergeCell ref="B41:C41"/>
    <mergeCell ref="B43:C43"/>
    <mergeCell ref="B32:C32"/>
    <mergeCell ref="B34:C34"/>
    <mergeCell ref="B35:C35"/>
    <mergeCell ref="B6:C6"/>
    <mergeCell ref="B7:C7"/>
    <mergeCell ref="B8:C8"/>
    <mergeCell ref="B28:C28"/>
    <mergeCell ref="B29:C29"/>
    <mergeCell ref="B13:C13"/>
    <mergeCell ref="B14:C14"/>
    <mergeCell ref="B16:C16"/>
    <mergeCell ref="B17:C17"/>
    <mergeCell ref="B10:C10"/>
    <mergeCell ref="B11:C11"/>
    <mergeCell ref="I22:J22"/>
    <mergeCell ref="B19:C19"/>
    <mergeCell ref="B20:C20"/>
    <mergeCell ref="B31:C31"/>
    <mergeCell ref="I13:J13"/>
    <mergeCell ref="I14:J14"/>
    <mergeCell ref="I19:J19"/>
    <mergeCell ref="I23:J23"/>
    <mergeCell ref="B25:C25"/>
    <mergeCell ref="B26:C26"/>
    <mergeCell ref="B22:C22"/>
    <mergeCell ref="B23:C23"/>
  </mergeCells>
  <dataValidations count="12">
    <dataValidation type="list" allowBlank="1" showInputMessage="1" showErrorMessage="1" sqref="B8:C8" xr:uid="{338DB638-395D-4F72-B098-CEA2FBF51109}">
      <formula1>"Not Applicable,Lanes Reduced"</formula1>
    </dataValidation>
    <dataValidation type="list" allowBlank="1" showInputMessage="1" showErrorMessage="1" sqref="B11:C11" xr:uid="{51AD0B86-0720-4EBF-8901-E9CF969B1FF5}">
      <formula1>"9-10',11',12'+"</formula1>
    </dataValidation>
    <dataValidation type="list" allowBlank="1" showInputMessage="1" showErrorMessage="1" sqref="B14:C14" xr:uid="{A531AAAF-FAC9-418F-926E-50A93C4DAB13}">
      <formula1>"Not Applicable,Converted to Shared Street"</formula1>
    </dataValidation>
    <dataValidation type="list" allowBlank="1" showInputMessage="1" showErrorMessage="1" sqref="B17:C17" xr:uid="{651FF39C-4D85-4FD7-B807-B7709EE3CB9F}">
      <formula1>"No Multimodal Lane,Protected Bike Lane,Bus Lane"</formula1>
    </dataValidation>
    <dataValidation type="list" allowBlank="1" showInputMessage="1" showErrorMessage="1" sqref="B20:C20" xr:uid="{D7830EA4-27AD-430A-8DEF-7A1018506E28}">
      <formula1>"Not Applicable,Street Trees,Building Setbacks &lt;20'"</formula1>
    </dataValidation>
    <dataValidation type="list" allowBlank="1" showInputMessage="1" showErrorMessage="1" sqref="B23:C23" xr:uid="{CF84B167-A74A-44E5-9014-A36D2BFBC921}">
      <formula1>"Not Applicable,Signals Timed to Design Speed"</formula1>
    </dataValidation>
    <dataValidation type="list" allowBlank="1" showInputMessage="1" showErrorMessage="1" sqref="B26:C26" xr:uid="{39CA792A-B387-4E71-AAEB-30F94944E58C}">
      <formula1>"0-30%,30%-60%,60%+"</formula1>
    </dataValidation>
    <dataValidation type="list" allowBlank="1" showInputMessage="1" showErrorMessage="1" sqref="B29:C29 B32:C32 B35:C35 B38:C38 B41:C41 B44:C44 B50:C50 B53:C53 B59:C59 B65:C65" xr:uid="{0F8483BA-90F4-46DC-9B32-FEB2BA5C7C32}">
      <formula1>"Not Present,Every 2500' or less,Every 1000' or less"</formula1>
    </dataValidation>
    <dataValidation type="list" allowBlank="1" showInputMessage="1" showErrorMessage="1" sqref="B47:C47" xr:uid="{370A0865-C306-41A4-B31F-4D91D6BA6758}">
      <formula1>"0-15',16-20',21'+"</formula1>
    </dataValidation>
    <dataValidation type="list" allowBlank="1" showInputMessage="1" showErrorMessage="1" sqref="B56:C56" xr:uid="{78F3EE45-9DE9-4814-8122-BBA9FADC9909}">
      <formula1>"Not Applicable,Intersection Realigned"</formula1>
    </dataValidation>
    <dataValidation type="list" allowBlank="1" showInputMessage="1" showErrorMessage="1" sqref="B62:C62" xr:uid="{1FE6B91C-B6F5-4887-BD05-E7F0A24068B5}">
      <formula1>"Not Present,Colored/Patterned Pavement,Pavers,Rumble Strips"</formula1>
    </dataValidation>
    <dataValidation type="list" allowBlank="1" showInputMessage="1" showErrorMessage="1" sqref="B68:C68" xr:uid="{EACF0A0C-F6C7-41A3-9CBD-7613BA1B32AE}">
      <formula1>"Not Present,Every 3000' or less,Every 1500' or less"</formula1>
    </dataValidation>
  </dataValidations>
  <pageMargins left="0.7" right="0.7" top="0.75" bottom="0.75" header="0.3" footer="0.3"/>
  <pageSetup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9045B-67F5-43B4-872C-5EE7D776FBE3}">
  <sheetPr>
    <tabColor theme="0" tint="-0.499984740745262"/>
  </sheetPr>
  <dimension ref="A2:J77"/>
  <sheetViews>
    <sheetView topLeftCell="A15" workbookViewId="0">
      <selection activeCell="A22" sqref="A22"/>
    </sheetView>
  </sheetViews>
  <sheetFormatPr defaultColWidth="0" defaultRowHeight="14.45" zeroHeight="1"/>
  <cols>
    <col min="1" max="1" width="59.42578125" customWidth="1"/>
    <col min="2" max="3" width="20.7109375" customWidth="1"/>
    <col min="4" max="4" width="13.7109375" customWidth="1"/>
    <col min="5" max="5" width="9.140625" customWidth="1"/>
  </cols>
  <sheetData>
    <row r="2" spans="1:10" s="45" customFormat="1" ht="30" customHeight="1">
      <c r="A2" s="45" t="s">
        <v>43</v>
      </c>
    </row>
    <row r="3" spans="1:10"/>
    <row r="4" spans="1:10"/>
    <row r="5" spans="1:10">
      <c r="A5" s="6" t="s">
        <v>7</v>
      </c>
      <c r="B5" s="42" t="s">
        <v>12</v>
      </c>
      <c r="C5" s="43"/>
      <c r="D5" s="18" t="s">
        <v>44</v>
      </c>
    </row>
    <row r="6" spans="1:10">
      <c r="B6" s="36"/>
      <c r="C6" s="36"/>
    </row>
    <row r="7" spans="1:10">
      <c r="A7" s="1" t="s">
        <v>45</v>
      </c>
      <c r="B7" s="37" t="s">
        <v>46</v>
      </c>
      <c r="C7" s="37"/>
      <c r="D7" s="3" cm="1">
        <f t="array" ref="D7">_xlfn.SWITCH(B7,"Not Applicable",0,"Lanes Reduced",5)</f>
        <v>0</v>
      </c>
      <c r="E7">
        <v>5</v>
      </c>
    </row>
    <row r="8" spans="1:10" ht="90" customHeight="1">
      <c r="A8" s="14" t="s">
        <v>47</v>
      </c>
      <c r="B8" s="17"/>
      <c r="C8" s="17"/>
      <c r="D8" s="17"/>
    </row>
    <row r="9" spans="1:10">
      <c r="B9" s="36" t="s">
        <v>48</v>
      </c>
      <c r="C9" s="36"/>
      <c r="D9" s="17"/>
    </row>
    <row r="10" spans="1:10">
      <c r="A10" s="1" t="s">
        <v>49</v>
      </c>
      <c r="B10" s="37" t="s">
        <v>113</v>
      </c>
      <c r="C10" s="37"/>
      <c r="D10" s="3" cm="1">
        <f t="array" ref="D10">_xlfn.SWITCH(B10,"9-10'",5,"11'",2,"12'+",0)</f>
        <v>0</v>
      </c>
      <c r="E10">
        <f>5+2</f>
        <v>7</v>
      </c>
    </row>
    <row r="11" spans="1:10" ht="90" customHeight="1">
      <c r="A11" s="14" t="s">
        <v>51</v>
      </c>
      <c r="B11" s="17"/>
      <c r="C11" s="17"/>
      <c r="D11" s="17"/>
    </row>
    <row r="12" spans="1:10">
      <c r="B12" s="36">
        <f>'Traffic Calming'!D71-'Speed Increasers'!D27</f>
        <v>-4</v>
      </c>
      <c r="C12" s="36"/>
      <c r="D12" s="17"/>
      <c r="I12" s="36"/>
      <c r="J12" s="36"/>
    </row>
    <row r="13" spans="1:10">
      <c r="A13" s="1" t="s">
        <v>114</v>
      </c>
      <c r="B13" s="37" t="s">
        <v>46</v>
      </c>
      <c r="C13" s="37"/>
      <c r="D13" s="3" cm="1">
        <f t="array" ref="D13">_xlfn.SWITCH(B13,"Not Applicable",0,"Converted to 2-Way",7)</f>
        <v>0</v>
      </c>
      <c r="E13">
        <v>7</v>
      </c>
      <c r="I13" s="36"/>
      <c r="J13" s="36"/>
    </row>
    <row r="14" spans="1:10" ht="90" customHeight="1">
      <c r="A14" s="14" t="s">
        <v>115</v>
      </c>
      <c r="B14" s="17"/>
      <c r="C14" s="17"/>
      <c r="D14" s="17"/>
      <c r="I14" s="17"/>
      <c r="J14" s="17"/>
    </row>
    <row r="15" spans="1:10">
      <c r="B15" s="36"/>
      <c r="C15" s="36"/>
      <c r="D15" s="17"/>
      <c r="I15" s="36"/>
      <c r="J15" s="36"/>
    </row>
    <row r="16" spans="1:10">
      <c r="A16" s="1" t="s">
        <v>116</v>
      </c>
      <c r="B16" s="37" t="s">
        <v>117</v>
      </c>
      <c r="C16" s="37"/>
      <c r="D16" s="3" cm="1">
        <f t="array" ref="D16">_xlfn.SWITCH(B16,"Not Applicable",0,"Converted to Shared Street",7)</f>
        <v>7</v>
      </c>
      <c r="E16">
        <f>10</f>
        <v>10</v>
      </c>
      <c r="I16" s="36"/>
      <c r="J16" s="36"/>
    </row>
    <row r="17" spans="1:10" ht="90" customHeight="1">
      <c r="A17" s="14" t="s">
        <v>53</v>
      </c>
      <c r="B17" s="17"/>
      <c r="C17" s="17"/>
      <c r="D17" s="17"/>
      <c r="I17" s="17"/>
      <c r="J17" s="17"/>
    </row>
    <row r="18" spans="1:10">
      <c r="B18" s="36" t="s">
        <v>54</v>
      </c>
      <c r="C18" s="36"/>
      <c r="D18" s="17"/>
      <c r="I18" s="17"/>
      <c r="J18" s="17"/>
    </row>
    <row r="19" spans="1:10">
      <c r="A19" s="1" t="s">
        <v>118</v>
      </c>
      <c r="B19" s="37" t="s">
        <v>119</v>
      </c>
      <c r="C19" s="37"/>
      <c r="D19" s="3" cm="1">
        <f t="array" ref="D19">_xlfn.SWITCH(B19,"No Multimodal Lane",0,"Protected Bike Lane",2,"Bus Lane",5)</f>
        <v>2</v>
      </c>
      <c r="E19">
        <v>7</v>
      </c>
      <c r="I19" s="17"/>
      <c r="J19" s="17"/>
    </row>
    <row r="20" spans="1:10" ht="90" customHeight="1">
      <c r="A20" s="14" t="s">
        <v>120</v>
      </c>
      <c r="B20" s="17"/>
      <c r="C20" s="17"/>
      <c r="D20" s="17"/>
      <c r="I20" s="17"/>
      <c r="J20" s="17"/>
    </row>
    <row r="21" spans="1:10">
      <c r="B21" s="36" t="s">
        <v>26</v>
      </c>
      <c r="C21" s="36"/>
      <c r="D21" s="17"/>
      <c r="I21" s="36"/>
      <c r="J21" s="36"/>
    </row>
    <row r="22" spans="1:10">
      <c r="A22" s="11" t="s">
        <v>121</v>
      </c>
      <c r="B22" s="49" t="s">
        <v>122</v>
      </c>
      <c r="C22" s="37"/>
      <c r="D22" s="3" cm="1">
        <f t="array" ref="D22">_xlfn.SWITCH(B22,"0-70%",0,"70%+",2)</f>
        <v>2</v>
      </c>
      <c r="E22">
        <v>2</v>
      </c>
      <c r="I22" s="36"/>
      <c r="J22" s="36"/>
    </row>
    <row r="23" spans="1:10" ht="90" customHeight="1">
      <c r="A23" s="14" t="s">
        <v>123</v>
      </c>
      <c r="B23" s="17"/>
      <c r="C23" s="17"/>
      <c r="D23" s="17"/>
      <c r="I23" s="17"/>
      <c r="J23" s="17"/>
    </row>
    <row r="24" spans="1:10">
      <c r="B24" s="17"/>
      <c r="C24" s="17"/>
      <c r="D24" s="17"/>
      <c r="I24" s="17"/>
      <c r="J24" s="17"/>
    </row>
    <row r="25" spans="1:10">
      <c r="A25" s="1" t="s">
        <v>58</v>
      </c>
      <c r="B25" s="37" t="s">
        <v>124</v>
      </c>
      <c r="C25" s="37"/>
      <c r="D25" s="3" cm="1">
        <f t="array" ref="D25">_xlfn.SWITCH(B25,"Street Trees",3,"Building Setbacks &lt;20'",8,"Not Applicable",0)</f>
        <v>8</v>
      </c>
      <c r="E25">
        <f>3+8</f>
        <v>11</v>
      </c>
      <c r="I25" s="17"/>
      <c r="J25" s="17"/>
    </row>
    <row r="26" spans="1:10" ht="90" customHeight="1">
      <c r="A26" s="14" t="s">
        <v>60</v>
      </c>
      <c r="D26" s="17"/>
    </row>
    <row r="27" spans="1:10">
      <c r="B27" s="36"/>
      <c r="C27" s="36"/>
      <c r="D27" s="17"/>
      <c r="I27" s="36"/>
      <c r="J27" s="36"/>
    </row>
    <row r="28" spans="1:10">
      <c r="A28" s="1" t="s">
        <v>125</v>
      </c>
      <c r="B28" s="37" t="s">
        <v>126</v>
      </c>
      <c r="C28" s="37"/>
      <c r="D28" s="3" cm="1">
        <f t="array" ref="D28">_xlfn.SWITCH(B28,"Not Applicable",0,"Signals Timed to Design Speed", 6)</f>
        <v>6</v>
      </c>
      <c r="E28">
        <v>6</v>
      </c>
      <c r="I28" s="36"/>
      <c r="J28" s="36"/>
    </row>
    <row r="29" spans="1:10" ht="90" customHeight="1">
      <c r="A29" s="14" t="s">
        <v>62</v>
      </c>
      <c r="B29" s="17"/>
      <c r="C29" s="17"/>
      <c r="D29" s="17"/>
      <c r="I29" s="17"/>
      <c r="J29" s="17"/>
    </row>
    <row r="30" spans="1:10">
      <c r="B30" s="36" t="s">
        <v>63</v>
      </c>
      <c r="C30" s="36"/>
      <c r="I30" s="17"/>
      <c r="J30" s="17"/>
    </row>
    <row r="31" spans="1:10">
      <c r="A31" s="1" t="s">
        <v>64</v>
      </c>
      <c r="B31" s="37" t="s">
        <v>127</v>
      </c>
      <c r="C31" s="37"/>
      <c r="D31" s="7" cm="1">
        <f t="array" ref="D31">_xlfn.SWITCH(B31,"0-30%",0,"30%-60%",3,"60%+",5)</f>
        <v>5</v>
      </c>
      <c r="E31">
        <v>5</v>
      </c>
      <c r="I31" s="17"/>
      <c r="J31" s="17"/>
    </row>
    <row r="32" spans="1:10" ht="90" customHeight="1">
      <c r="A32" s="14" t="s">
        <v>66</v>
      </c>
      <c r="B32" s="17"/>
      <c r="C32" s="17"/>
      <c r="D32" s="17"/>
      <c r="I32" s="17"/>
      <c r="J32" s="17"/>
    </row>
    <row r="33" spans="1:10">
      <c r="B33" s="36" t="s">
        <v>67</v>
      </c>
      <c r="C33" s="36"/>
      <c r="D33" s="17"/>
      <c r="I33" s="17"/>
      <c r="J33" s="17"/>
    </row>
    <row r="34" spans="1:10">
      <c r="A34" s="1" t="s">
        <v>68</v>
      </c>
      <c r="B34" s="37" t="s">
        <v>76</v>
      </c>
      <c r="C34" s="37"/>
      <c r="D34" s="3" cm="1">
        <f t="array" ref="D34">_xlfn.SWITCH(B34,"Not Present",0,"Every 2500' or less",5,"Every 1000' or less",10)</f>
        <v>0</v>
      </c>
      <c r="E34">
        <v>15</v>
      </c>
      <c r="I34" s="17"/>
      <c r="J34" s="17"/>
    </row>
    <row r="35" spans="1:10" ht="90" customHeight="1">
      <c r="A35" s="14" t="s">
        <v>70</v>
      </c>
      <c r="B35" s="17"/>
      <c r="C35" s="17"/>
      <c r="D35" s="17"/>
      <c r="I35" s="17"/>
      <c r="J35" s="17"/>
    </row>
    <row r="36" spans="1:10">
      <c r="B36" s="36" t="s">
        <v>71</v>
      </c>
      <c r="C36" s="36"/>
      <c r="D36" s="17"/>
      <c r="I36" s="17"/>
      <c r="J36" s="17"/>
    </row>
    <row r="37" spans="1:10">
      <c r="A37" s="1" t="s">
        <v>72</v>
      </c>
      <c r="B37" s="37" t="s">
        <v>76</v>
      </c>
      <c r="C37" s="37"/>
      <c r="D37" s="3" cm="1">
        <f t="array" ref="D37">_xlfn.SWITCH(B37,"Not Present",0,"Every 2500' or less",5,"Every 1000' or less",10)</f>
        <v>0</v>
      </c>
      <c r="E37">
        <v>15</v>
      </c>
      <c r="I37" s="17"/>
      <c r="J37" s="17"/>
    </row>
    <row r="38" spans="1:10" ht="90" customHeight="1">
      <c r="A38" s="14" t="s">
        <v>73</v>
      </c>
      <c r="B38" s="17"/>
      <c r="C38" s="17"/>
      <c r="D38" s="17"/>
      <c r="I38" s="17"/>
      <c r="J38" s="17"/>
    </row>
    <row r="39" spans="1:10">
      <c r="B39" s="36" t="s">
        <v>74</v>
      </c>
      <c r="C39" s="36"/>
      <c r="D39" s="17"/>
      <c r="I39" s="17"/>
      <c r="J39" s="17"/>
    </row>
    <row r="40" spans="1:10">
      <c r="A40" s="1" t="s">
        <v>75</v>
      </c>
      <c r="B40" s="37" t="s">
        <v>128</v>
      </c>
      <c r="C40" s="37"/>
      <c r="D40" s="3" cm="1">
        <f t="array" ref="D40">_xlfn.SWITCH(B40,"Not Present",0,"Every 2500' or less",5,"Every 1000' or less",10)</f>
        <v>10</v>
      </c>
      <c r="E40">
        <v>15</v>
      </c>
      <c r="I40" s="17"/>
      <c r="J40" s="17"/>
    </row>
    <row r="41" spans="1:10" ht="90" customHeight="1">
      <c r="A41" s="14" t="s">
        <v>77</v>
      </c>
      <c r="B41" s="17"/>
      <c r="C41" s="17"/>
      <c r="D41" s="17"/>
      <c r="I41" s="17"/>
      <c r="J41" s="17"/>
    </row>
    <row r="42" spans="1:10">
      <c r="B42" s="36" t="s">
        <v>78</v>
      </c>
      <c r="C42" s="36"/>
      <c r="D42" s="17"/>
      <c r="I42" s="17"/>
      <c r="J42" s="17"/>
    </row>
    <row r="43" spans="1:10">
      <c r="A43" s="1" t="s">
        <v>79</v>
      </c>
      <c r="B43" s="37" t="s">
        <v>69</v>
      </c>
      <c r="C43" s="37"/>
      <c r="D43" s="3" cm="1">
        <f t="array" ref="D43">_xlfn.SWITCH(B43,"Not Present",0,"Every 2500' or less",4,"Every 1000' or less",7)</f>
        <v>4</v>
      </c>
      <c r="E43">
        <f>4+7</f>
        <v>11</v>
      </c>
      <c r="I43" s="17"/>
      <c r="J43" s="17"/>
    </row>
    <row r="44" spans="1:10" ht="90" customHeight="1">
      <c r="A44" s="14" t="s">
        <v>80</v>
      </c>
      <c r="B44" s="17"/>
      <c r="C44" s="17"/>
      <c r="D44" s="17"/>
      <c r="I44" s="17"/>
      <c r="J44" s="17"/>
    </row>
    <row r="45" spans="1:10">
      <c r="B45" s="36" t="s">
        <v>81</v>
      </c>
      <c r="C45" s="36"/>
      <c r="D45" s="17"/>
      <c r="I45" s="17"/>
      <c r="J45" s="17"/>
    </row>
    <row r="46" spans="1:10">
      <c r="A46" s="1" t="s">
        <v>82</v>
      </c>
      <c r="B46" s="37" t="s">
        <v>76</v>
      </c>
      <c r="C46" s="37"/>
      <c r="D46" s="3" cm="1">
        <f t="array" ref="D46">_xlfn.SWITCH(B46,"Not Present",0,"Every 2500' or less",4,"Every 1000' or less",7)</f>
        <v>0</v>
      </c>
      <c r="E46">
        <f>4+7</f>
        <v>11</v>
      </c>
      <c r="I46" s="17"/>
      <c r="J46" s="17"/>
    </row>
    <row r="47" spans="1:10" ht="90" customHeight="1">
      <c r="A47" s="14" t="s">
        <v>83</v>
      </c>
      <c r="B47" s="17"/>
      <c r="C47" s="17"/>
      <c r="D47" s="17"/>
      <c r="I47" s="17"/>
      <c r="J47" s="17"/>
    </row>
    <row r="48" spans="1:10">
      <c r="B48" s="36" t="s">
        <v>84</v>
      </c>
      <c r="C48" s="36"/>
      <c r="D48" s="17"/>
      <c r="I48" s="17"/>
      <c r="J48" s="17"/>
    </row>
    <row r="49" spans="1:10">
      <c r="A49" s="1" t="s">
        <v>85</v>
      </c>
      <c r="B49" s="37" t="s">
        <v>76</v>
      </c>
      <c r="C49" s="37"/>
      <c r="D49" s="3" cm="1">
        <f t="array" ref="D49">_xlfn.SWITCH(B49,"Not Present",0,"Every 2500' or less",5,"Every 1000' or less",10)</f>
        <v>0</v>
      </c>
      <c r="E49">
        <f>5+10</f>
        <v>15</v>
      </c>
      <c r="I49" s="17"/>
      <c r="J49" s="17"/>
    </row>
    <row r="50" spans="1:10" ht="90" customHeight="1">
      <c r="A50" s="14" t="s">
        <v>86</v>
      </c>
      <c r="B50" s="17"/>
      <c r="C50" s="17"/>
      <c r="D50" s="17"/>
      <c r="I50" s="17"/>
      <c r="J50" s="17"/>
    </row>
    <row r="51" spans="1:10">
      <c r="B51" s="36" t="s">
        <v>87</v>
      </c>
      <c r="C51" s="36"/>
      <c r="D51" s="17"/>
      <c r="I51" s="17"/>
      <c r="J51" s="17"/>
    </row>
    <row r="52" spans="1:10">
      <c r="A52" s="1" t="s">
        <v>88</v>
      </c>
      <c r="B52" s="37" t="s">
        <v>89</v>
      </c>
      <c r="C52" s="37"/>
      <c r="D52" s="3" cm="1">
        <f t="array" ref="D52">_xlfn.SWITCH(B52,"0-15'",5,"16-20'",3,"21'+",0)</f>
        <v>3</v>
      </c>
      <c r="E52">
        <v>8</v>
      </c>
      <c r="I52" s="17"/>
      <c r="J52" s="17"/>
    </row>
    <row r="53" spans="1:10" ht="90" customHeight="1">
      <c r="A53" s="14" t="s">
        <v>90</v>
      </c>
      <c r="B53" s="17"/>
      <c r="C53" s="17"/>
      <c r="D53" s="17"/>
      <c r="I53" s="17"/>
      <c r="J53" s="17"/>
    </row>
    <row r="54" spans="1:10">
      <c r="B54" s="36" t="s">
        <v>91</v>
      </c>
      <c r="C54" s="36"/>
      <c r="D54" s="17"/>
    </row>
    <row r="55" spans="1:10">
      <c r="A55" s="1" t="s">
        <v>92</v>
      </c>
      <c r="B55" s="37" t="s">
        <v>76</v>
      </c>
      <c r="C55" s="37"/>
      <c r="D55" s="3" cm="1">
        <f t="array" ref="D55">_xlfn.SWITCH(B55,"Not Present",0,"Every 2500' or less",8,"Every 1000' or less",15)</f>
        <v>0</v>
      </c>
      <c r="E55">
        <f>8+15</f>
        <v>23</v>
      </c>
    </row>
    <row r="56" spans="1:10" ht="90" customHeight="1">
      <c r="A56" s="14" t="s">
        <v>93</v>
      </c>
      <c r="B56" s="17"/>
      <c r="C56" s="17"/>
      <c r="D56" s="17"/>
    </row>
    <row r="57" spans="1:10">
      <c r="A57" s="14"/>
      <c r="B57" s="36" t="s">
        <v>94</v>
      </c>
      <c r="C57" s="36"/>
      <c r="D57" s="17"/>
    </row>
    <row r="58" spans="1:10">
      <c r="A58" s="1" t="s">
        <v>95</v>
      </c>
      <c r="B58" s="37" t="s">
        <v>76</v>
      </c>
      <c r="C58" s="37"/>
      <c r="D58" s="3" cm="1">
        <f t="array" ref="D58">_xlfn.SWITCH(B58,"Not Present",0,"Every 2500' or less",6,"Every 1000' or less",10)</f>
        <v>0</v>
      </c>
      <c r="E58">
        <f>6+10</f>
        <v>16</v>
      </c>
    </row>
    <row r="59" spans="1:10" ht="90" customHeight="1">
      <c r="A59" s="14" t="s">
        <v>96</v>
      </c>
      <c r="B59" s="17"/>
      <c r="C59" s="17"/>
    </row>
    <row r="60" spans="1:10">
      <c r="A60" s="14"/>
      <c r="B60" s="36" t="s">
        <v>97</v>
      </c>
      <c r="C60" s="36"/>
      <c r="D60" s="17"/>
    </row>
    <row r="61" spans="1:10">
      <c r="A61" s="1" t="s">
        <v>98</v>
      </c>
      <c r="B61" s="37" t="s">
        <v>46</v>
      </c>
      <c r="C61" s="37"/>
      <c r="D61" s="3" cm="1">
        <f t="array" ref="D61">_xlfn.SWITCH(B61,"Not Applicable",0,"Intersection Realigned",10)</f>
        <v>0</v>
      </c>
      <c r="E61">
        <v>10</v>
      </c>
    </row>
    <row r="62" spans="1:10" ht="90" customHeight="1">
      <c r="A62" s="14" t="s">
        <v>99</v>
      </c>
      <c r="B62" s="17"/>
      <c r="C62" s="17"/>
    </row>
    <row r="63" spans="1:10">
      <c r="A63" s="14"/>
      <c r="B63" s="36" t="s">
        <v>100</v>
      </c>
      <c r="C63" s="36"/>
      <c r="D63" s="17"/>
    </row>
    <row r="64" spans="1:10">
      <c r="A64" s="1" t="s">
        <v>101</v>
      </c>
      <c r="B64" s="37" t="s">
        <v>76</v>
      </c>
      <c r="C64" s="37"/>
      <c r="D64" s="3" cm="1">
        <f t="array" ref="D64">_xlfn.SWITCH(B64,"Not Present",0,"Every 2500' or less",7,"Every 1000' or less",11)</f>
        <v>0</v>
      </c>
      <c r="E64" t="s">
        <v>129</v>
      </c>
    </row>
    <row r="65" spans="1:5" ht="90" customHeight="1">
      <c r="A65" s="14" t="s">
        <v>102</v>
      </c>
      <c r="B65" s="17"/>
      <c r="C65" s="17"/>
    </row>
    <row r="66" spans="1:5">
      <c r="A66" s="14"/>
      <c r="B66" s="36" t="s">
        <v>103</v>
      </c>
      <c r="C66" s="36"/>
      <c r="D66" s="17"/>
    </row>
    <row r="67" spans="1:5">
      <c r="A67" s="1" t="s">
        <v>104</v>
      </c>
      <c r="B67" s="37" t="s">
        <v>76</v>
      </c>
      <c r="C67" s="37"/>
      <c r="D67" s="3" cm="1">
        <f t="array" ref="D67">_xlfn.SWITCH(B67,"Not Present",0,"Every 2500' or less",6,"Every 1000' or less",10)</f>
        <v>0</v>
      </c>
      <c r="E67">
        <v>16</v>
      </c>
    </row>
    <row r="68" spans="1:5" ht="90" customHeight="1">
      <c r="A68" s="14" t="s">
        <v>105</v>
      </c>
      <c r="B68" s="17"/>
      <c r="C68" s="17"/>
    </row>
    <row r="69" spans="1:5">
      <c r="B69" s="36" t="s">
        <v>106</v>
      </c>
      <c r="C69" s="36"/>
      <c r="D69" s="17"/>
    </row>
    <row r="70" spans="1:5">
      <c r="A70" s="1" t="s">
        <v>107</v>
      </c>
      <c r="B70" s="37" t="s">
        <v>76</v>
      </c>
      <c r="C70" s="37"/>
      <c r="D70" s="3" cm="1">
        <f t="array" ref="D70">_xlfn.SWITCH(B70,"Not Present",0,"Every 2500' or less",8,"Every 1000' or less",13)</f>
        <v>0</v>
      </c>
      <c r="E70">
        <f>8+13</f>
        <v>21</v>
      </c>
    </row>
    <row r="71" spans="1:5" ht="90" customHeight="1">
      <c r="A71" s="14" t="s">
        <v>108</v>
      </c>
      <c r="B71" s="17"/>
      <c r="C71" s="17"/>
    </row>
    <row r="72" spans="1:5">
      <c r="B72" s="36" t="s">
        <v>109</v>
      </c>
      <c r="C72" s="36"/>
      <c r="D72" s="17"/>
    </row>
    <row r="73" spans="1:5">
      <c r="A73" s="1" t="s">
        <v>110</v>
      </c>
      <c r="B73" s="37" t="s">
        <v>76</v>
      </c>
      <c r="C73" s="37"/>
      <c r="D73" s="3" cm="1">
        <f t="array" ref="D73">_xlfn.SWITCH(B73,"Not Present",0,"Every 3000' or less",12,"Every 1500' or less",20)</f>
        <v>0</v>
      </c>
      <c r="E73">
        <f>12+20</f>
        <v>32</v>
      </c>
    </row>
    <row r="74" spans="1:5" ht="90" customHeight="1">
      <c r="A74" s="14" t="s">
        <v>111</v>
      </c>
      <c r="B74" s="17"/>
      <c r="C74" s="17"/>
    </row>
    <row r="75" spans="1:5" ht="15" thickBot="1">
      <c r="B75" s="17"/>
      <c r="C75" s="17"/>
    </row>
    <row r="76" spans="1:5" ht="15" thickBot="1">
      <c r="B76" s="22" t="s">
        <v>112</v>
      </c>
      <c r="C76" s="48"/>
      <c r="D76" s="4">
        <f>SUM(D7:D75)</f>
        <v>47</v>
      </c>
    </row>
    <row r="77" spans="1:5"/>
  </sheetData>
  <mergeCells count="56">
    <mergeCell ref="A2:XFD2"/>
    <mergeCell ref="B5:C5"/>
    <mergeCell ref="B6:C6"/>
    <mergeCell ref="B7:C7"/>
    <mergeCell ref="B9:C9"/>
    <mergeCell ref="B10:C10"/>
    <mergeCell ref="B12:C12"/>
    <mergeCell ref="I12:J12"/>
    <mergeCell ref="B13:C13"/>
    <mergeCell ref="I13:J13"/>
    <mergeCell ref="B27:C27"/>
    <mergeCell ref="I27:J27"/>
    <mergeCell ref="B15:C15"/>
    <mergeCell ref="I15:J15"/>
    <mergeCell ref="B16:C16"/>
    <mergeCell ref="I16:J16"/>
    <mergeCell ref="B18:C18"/>
    <mergeCell ref="B19:C19"/>
    <mergeCell ref="B21:C21"/>
    <mergeCell ref="I21:J21"/>
    <mergeCell ref="B22:C22"/>
    <mergeCell ref="I22:J22"/>
    <mergeCell ref="B25:C25"/>
    <mergeCell ref="B43:C43"/>
    <mergeCell ref="B28:C28"/>
    <mergeCell ref="I28:J28"/>
    <mergeCell ref="B30:C30"/>
    <mergeCell ref="B31:C31"/>
    <mergeCell ref="B33:C33"/>
    <mergeCell ref="B34:C34"/>
    <mergeCell ref="B36:C36"/>
    <mergeCell ref="B37:C37"/>
    <mergeCell ref="B39:C39"/>
    <mergeCell ref="B40:C40"/>
    <mergeCell ref="B42:C42"/>
    <mergeCell ref="B61:C61"/>
    <mergeCell ref="B45:C45"/>
    <mergeCell ref="B46:C46"/>
    <mergeCell ref="B48:C48"/>
    <mergeCell ref="B49:C49"/>
    <mergeCell ref="B51:C51"/>
    <mergeCell ref="B52:C52"/>
    <mergeCell ref="B54:C54"/>
    <mergeCell ref="B55:C55"/>
    <mergeCell ref="B57:C57"/>
    <mergeCell ref="B58:C58"/>
    <mergeCell ref="B60:C60"/>
    <mergeCell ref="B72:C72"/>
    <mergeCell ref="B73:C73"/>
    <mergeCell ref="B76:C76"/>
    <mergeCell ref="B63:C63"/>
    <mergeCell ref="B64:C64"/>
    <mergeCell ref="B66:C66"/>
    <mergeCell ref="B67:C67"/>
    <mergeCell ref="B69:C69"/>
    <mergeCell ref="B70:C70"/>
  </mergeCells>
  <dataValidations count="14">
    <dataValidation type="list" allowBlank="1" showInputMessage="1" showErrorMessage="1" sqref="B22:C22" xr:uid="{258E68CB-87C1-4CB6-8461-FC6EBA20DBD6}">
      <formula1>"0-70%,70%+"</formula1>
    </dataValidation>
    <dataValidation type="list" allowBlank="1" showInputMessage="1" showErrorMessage="1" sqref="B73:C73" xr:uid="{2D9F634B-9933-490C-936B-F0F00586CACE}">
      <formula1>"Not Present,Every 3000' or less,Every 1500' or less"</formula1>
    </dataValidation>
    <dataValidation type="list" allowBlank="1" showInputMessage="1" showErrorMessage="1" sqref="B67:C67" xr:uid="{293C66DC-8BEA-43AE-AAA2-C84025675B2A}">
      <formula1>"Not Present,Colored/Patterned Pavement,Pavers,Rumble Strips"</formula1>
    </dataValidation>
    <dataValidation type="list" allowBlank="1" showInputMessage="1" showErrorMessage="1" sqref="B61:C61" xr:uid="{FA963E6B-CEF2-40BB-95A1-184E3805E556}">
      <formula1>"Not Applicable,Intersection Realigned"</formula1>
    </dataValidation>
    <dataValidation type="list" allowBlank="1" showInputMessage="1" showErrorMessage="1" sqref="B52:C52" xr:uid="{DC74FEA7-939B-467C-B488-025A0DC4642C}">
      <formula1>"0-15',16-20',21'+"</formula1>
    </dataValidation>
    <dataValidation type="list" allowBlank="1" showInputMessage="1" showErrorMessage="1" sqref="B34:C34 B37:C37 B40:C40 B43:C43 B46:C46 B49:C49 B55:C55 B58:C58 B64:C64 B70:C70" xr:uid="{A2F987FA-9181-4FE7-B455-31E2A76C2C5B}">
      <formula1>"Not Present,Every 2500' or less,Every 1000' or less"</formula1>
    </dataValidation>
    <dataValidation type="list" allowBlank="1" showInputMessage="1" showErrorMessage="1" sqref="B31:C31" xr:uid="{880F0857-7770-4D72-BB60-7E7C5EF65F20}">
      <formula1>"0-30%,30%-60%,60%+"</formula1>
    </dataValidation>
    <dataValidation type="list" allowBlank="1" showInputMessage="1" showErrorMessage="1" sqref="B28:C28" xr:uid="{F847EE79-C083-4A50-A66B-9527CD196E57}">
      <formula1>"Not Applicable,Signals Timed to Design Speed"</formula1>
    </dataValidation>
    <dataValidation type="list" allowBlank="1" showInputMessage="1" showErrorMessage="1" sqref="B25:C25" xr:uid="{510B102E-6736-496E-810A-6B939C25E17C}">
      <formula1>"Not Applicable,Street Trees,Building Setbacks &lt;20'"</formula1>
    </dataValidation>
    <dataValidation type="list" allowBlank="1" showInputMessage="1" showErrorMessage="1" sqref="B19:C19" xr:uid="{C9E81A8C-635B-4B60-A2B2-172D91B50E45}">
      <formula1>"No Multimodal Lane,Protected Bike Lane,Bus Lane"</formula1>
    </dataValidation>
    <dataValidation type="list" allowBlank="1" showInputMessage="1" showErrorMessage="1" sqref="B16:C16" xr:uid="{28F4EB82-6EC0-45DB-8183-DDC81CD538AB}">
      <formula1>"Not Applicable,Converted to Shared Street"</formula1>
    </dataValidation>
    <dataValidation type="list" allowBlank="1" showInputMessage="1" showErrorMessage="1" sqref="B13:C13" xr:uid="{0FA1C305-92DF-4F53-B29D-8A45AADF60BE}">
      <formula1>"Not Applicable,Converted to 2-Way"</formula1>
    </dataValidation>
    <dataValidation type="list" allowBlank="1" showInputMessage="1" showErrorMessage="1" sqref="B10:C10" xr:uid="{EF148E3F-F671-462D-8ECD-23144527A055}">
      <formula1>"9-10',11',12'+"</formula1>
    </dataValidation>
    <dataValidation type="list" allowBlank="1" showInputMessage="1" showErrorMessage="1" sqref="B7:C7" xr:uid="{8B2B2313-455C-44AA-81DE-76604366011F}">
      <formula1>"Not Applicable,Lanes Reduced"</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066c024-3c6a-4f3e-a899-677a6396a9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F7128E9CD3DF4A9716E4F105D43852" ma:contentTypeVersion="16" ma:contentTypeDescription="Create a new document." ma:contentTypeScope="" ma:versionID="559fc405d8ab5baea9cf3b17c9d3fd5a">
  <xsd:schema xmlns:xsd="http://www.w3.org/2001/XMLSchema" xmlns:xs="http://www.w3.org/2001/XMLSchema" xmlns:p="http://schemas.microsoft.com/office/2006/metadata/properties" xmlns:ns3="d066c024-3c6a-4f3e-a899-677a6396a941" xmlns:ns4="cbf4334c-c265-47f0-a36e-07248f21cc3e" targetNamespace="http://schemas.microsoft.com/office/2006/metadata/properties" ma:root="true" ma:fieldsID="4eda3dc683c26c0f3df2cf3066bac90c" ns3:_="" ns4:_="">
    <xsd:import namespace="d066c024-3c6a-4f3e-a899-677a6396a941"/>
    <xsd:import namespace="cbf4334c-c265-47f0-a36e-07248f21cc3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_activity"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6c024-3c6a-4f3e-a899-677a6396a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4334c-c265-47f0-a36e-07248f21cc3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FB8295-9979-4461-A6C7-666FBA4BCE8F}"/>
</file>

<file path=customXml/itemProps2.xml><?xml version="1.0" encoding="utf-8"?>
<ds:datastoreItem xmlns:ds="http://schemas.openxmlformats.org/officeDocument/2006/customXml" ds:itemID="{613926E9-4752-4A7C-9B75-2CEE840AA0CD}"/>
</file>

<file path=customXml/itemProps3.xml><?xml version="1.0" encoding="utf-8"?>
<ds:datastoreItem xmlns:ds="http://schemas.openxmlformats.org/officeDocument/2006/customXml" ds:itemID="{F46F7263-3382-4DF3-909B-37BFA2EAD8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Strege</dc:creator>
  <cp:keywords/>
  <dc:description/>
  <cp:lastModifiedBy/>
  <cp:revision/>
  <dcterms:created xsi:type="dcterms:W3CDTF">2023-11-19T22:39:32Z</dcterms:created>
  <dcterms:modified xsi:type="dcterms:W3CDTF">2025-03-19T19:44:41Z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0x01010043F7128E9CD3DF4A9716E4F105D43852</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ies>
</file>